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H11" i="16"/>
  <c r="K4" i="16"/>
  <c r="H4" i="16"/>
  <c r="G4" i="16"/>
  <c r="F4" i="16"/>
  <c r="E4" i="16"/>
  <c r="D4" i="16"/>
  <c r="C4" i="16"/>
  <c r="AN52" i="10"/>
  <c r="AB52" i="10"/>
  <c r="X52" i="10"/>
  <c r="G11" i="16" s="1"/>
  <c r="T52" i="10"/>
  <c r="F11" i="16" s="1"/>
  <c r="P52" i="10"/>
  <c r="E11" i="16" s="1"/>
  <c r="AN51" i="10"/>
  <c r="AB51" i="10"/>
  <c r="X51" i="10"/>
  <c r="T51" i="10"/>
  <c r="P51" i="10"/>
  <c r="AN50" i="10"/>
  <c r="AN47" i="10"/>
  <c r="AN46" i="10"/>
  <c r="AN45" i="10"/>
  <c r="AM45" i="10"/>
  <c r="AL45" i="10"/>
  <c r="AB45" i="10"/>
  <c r="AB47" i="10" s="1"/>
  <c r="AB50" i="10" s="1"/>
  <c r="AA45" i="10"/>
  <c r="AB38" i="10" s="1"/>
  <c r="Z45" i="10"/>
  <c r="Y45" i="10"/>
  <c r="X45" i="10"/>
  <c r="X46" i="10" s="1"/>
  <c r="W45" i="10"/>
  <c r="V45" i="10"/>
  <c r="U45" i="10"/>
  <c r="T45" i="10"/>
  <c r="T46" i="10" s="1"/>
  <c r="S45" i="10"/>
  <c r="R45" i="10"/>
  <c r="Q45" i="10"/>
  <c r="P44" i="10"/>
  <c r="P46" i="10" s="1"/>
  <c r="O44" i="10"/>
  <c r="N44" i="10"/>
  <c r="M44" i="10"/>
  <c r="AN41" i="10"/>
  <c r="AB41" i="10"/>
  <c r="X41" i="10"/>
  <c r="T41" i="10"/>
  <c r="P41" i="10"/>
  <c r="AN40" i="10"/>
  <c r="AB40" i="10"/>
  <c r="X40" i="10"/>
  <c r="T40" i="10"/>
  <c r="P40" i="10"/>
  <c r="K40" i="10"/>
  <c r="F40" i="10"/>
  <c r="AN38" i="10"/>
  <c r="P38" i="10"/>
  <c r="AN37" i="10"/>
  <c r="AM37" i="10"/>
  <c r="AB37" i="10"/>
  <c r="AA37" i="10"/>
  <c r="X37" i="10"/>
  <c r="W37" i="10"/>
  <c r="T37" i="10"/>
  <c r="S37" i="10"/>
  <c r="P37" i="10"/>
  <c r="O37" i="10"/>
  <c r="L29" i="10"/>
  <c r="L28" i="10"/>
  <c r="L25" i="10"/>
  <c r="L21" i="10"/>
  <c r="L20" i="10"/>
  <c r="L19" i="10"/>
  <c r="L24" i="10" s="1"/>
  <c r="AM17" i="10"/>
  <c r="AL17" i="10"/>
  <c r="AB17" i="10"/>
  <c r="AA17" i="10"/>
  <c r="Z17" i="10"/>
  <c r="AB13" i="10" s="1"/>
  <c r="Y17" i="10"/>
  <c r="X17" i="10"/>
  <c r="W17" i="10"/>
  <c r="V17" i="10"/>
  <c r="U17" i="10"/>
  <c r="T17" i="10"/>
  <c r="S17" i="10"/>
  <c r="R17" i="10"/>
  <c r="Q17" i="10"/>
  <c r="P17" i="10"/>
  <c r="O17" i="10"/>
  <c r="N17" i="10"/>
  <c r="M17" i="10"/>
  <c r="AN16" i="10"/>
  <c r="AM16" i="10"/>
  <c r="AB16" i="10"/>
  <c r="AA16" i="10"/>
  <c r="X16" i="10"/>
  <c r="W16" i="10"/>
  <c r="T16" i="10"/>
  <c r="S16" i="10"/>
  <c r="P16" i="10"/>
  <c r="O16" i="10"/>
  <c r="L16" i="10"/>
  <c r="K16" i="10"/>
  <c r="J16" i="10"/>
  <c r="G16" i="10"/>
  <c r="F16" i="10"/>
  <c r="E16" i="10"/>
  <c r="AN15" i="10"/>
  <c r="AN17" i="10" s="1"/>
  <c r="AM15" i="10"/>
  <c r="AB15" i="10"/>
  <c r="AA15" i="10"/>
  <c r="X15" i="10"/>
  <c r="W15" i="10"/>
  <c r="T15" i="10"/>
  <c r="S15" i="10"/>
  <c r="P15" i="10"/>
  <c r="O15" i="10"/>
  <c r="L15" i="10"/>
  <c r="AN13" i="10"/>
  <c r="AM13" i="10"/>
  <c r="AL13" i="10"/>
  <c r="AA13" i="10"/>
  <c r="Z13" i="10"/>
  <c r="Y13" i="10"/>
  <c r="P12" i="10"/>
  <c r="O12"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N55" i="18"/>
  <c r="AN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P54" i="18"/>
  <c r="AP12" i="4" s="1"/>
  <c r="AO54" i="18"/>
  <c r="AO12" i="4" s="1"/>
  <c r="AN54" i="18"/>
  <c r="AN12" i="4" s="1"/>
  <c r="AC54" i="18"/>
  <c r="AC12" i="4" s="1"/>
  <c r="AB54" i="18"/>
  <c r="AA54" i="18"/>
  <c r="AA12" i="4" s="1"/>
  <c r="Z54" i="18"/>
  <c r="Z12" i="4" s="1"/>
  <c r="Y54" i="18"/>
  <c r="Y12" i="4" s="1"/>
  <c r="X54" i="18"/>
  <c r="X12" i="4" s="1"/>
  <c r="W54" i="18"/>
  <c r="V54" i="18"/>
  <c r="V12" i="4" s="1"/>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H12" i="4" s="1"/>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O22" i="4"/>
  <c r="AQ12" i="4"/>
  <c r="AB12" i="4"/>
  <c r="W12" i="4"/>
  <c r="N12" i="4"/>
  <c r="F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K15" i="10" l="1"/>
  <c r="F15" i="10"/>
  <c r="J7" i="10"/>
  <c r="E7" i="10"/>
  <c r="AB46" i="10"/>
  <c r="P47" i="10"/>
  <c r="P50" i="10" s="1"/>
  <c r="X47" i="10"/>
  <c r="X50" i="10" s="1"/>
  <c r="T47" i="10"/>
  <c r="T50" i="10" s="1"/>
  <c r="X38" i="10"/>
  <c r="T38" i="10"/>
  <c r="L23" i="10"/>
  <c r="L27" i="10" s="1"/>
  <c r="L31" i="10" s="1"/>
  <c r="L32" i="10" s="1"/>
  <c r="L33" i="10" s="1"/>
  <c r="X13" i="10"/>
  <c r="W13" i="10"/>
  <c r="V13" i="10"/>
  <c r="S13" i="10"/>
  <c r="T13" i="10"/>
  <c r="Q13" i="10"/>
  <c r="U13" i="10"/>
  <c r="R13" i="10"/>
  <c r="G7" i="10"/>
  <c r="F7" i="10" l="1"/>
  <c r="E37" i="10" s="1"/>
  <c r="D17" i="10"/>
  <c r="L26" i="10"/>
  <c r="L30" i="10" s="1"/>
  <c r="F17" i="10"/>
  <c r="D12" i="10"/>
  <c r="K7" i="10"/>
  <c r="J17" i="10" s="1"/>
  <c r="J12" i="10"/>
  <c r="H17" i="10"/>
  <c r="H44" i="10" s="1"/>
  <c r="J37" i="10"/>
  <c r="K17" i="10"/>
  <c r="G28" i="10"/>
  <c r="G25" i="10"/>
  <c r="G21" i="10"/>
  <c r="G19" i="10"/>
  <c r="G29" i="10"/>
  <c r="G20" i="10"/>
  <c r="E12" i="10" l="1"/>
  <c r="C12" i="10"/>
  <c r="F12" i="10" s="1"/>
  <c r="C17" i="10"/>
  <c r="C44" i="10" s="1"/>
  <c r="E17" i="10"/>
  <c r="E44" i="10"/>
  <c r="F37" i="10"/>
  <c r="D44" i="10"/>
  <c r="I17" i="10"/>
  <c r="I44" i="10" s="1"/>
  <c r="J44" i="10"/>
  <c r="K37" i="10"/>
  <c r="H12" i="10"/>
  <c r="I12" i="10"/>
  <c r="G24" i="10"/>
  <c r="G23" i="10" s="1"/>
  <c r="G27" i="10" s="1"/>
  <c r="K12" i="10" l="1"/>
  <c r="K51" i="10"/>
  <c r="K44" i="10"/>
  <c r="K41" i="10"/>
  <c r="K52" i="10"/>
  <c r="D11" i="16" s="1"/>
  <c r="K38" i="10"/>
  <c r="F51" i="10"/>
  <c r="F38" i="10"/>
  <c r="F41" i="10" s="1"/>
  <c r="F44" i="10"/>
  <c r="G31" i="10"/>
  <c r="G32" i="10" s="1"/>
  <c r="G33" i="10" s="1"/>
  <c r="G26" i="10"/>
  <c r="G30" i="10" s="1"/>
  <c r="K47" i="10" l="1"/>
  <c r="K50" i="10" s="1"/>
  <c r="K46" i="10"/>
  <c r="F46" i="10"/>
  <c r="F47" i="10" s="1"/>
  <c r="F50" i="10" s="1"/>
  <c r="F52" i="10" s="1"/>
  <c r="C11" i="16" s="1"/>
</calcChain>
</file>

<file path=xl/sharedStrings.xml><?xml version="1.0" encoding="utf-8"?>
<sst xmlns="http://schemas.openxmlformats.org/spreadsheetml/2006/main" count="626" uniqueCount="527">
  <si>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</si>
  <si>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</si>
  <si>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</si>
  <si>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</si>
  <si>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</si>
  <si>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</si>
  <si>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</si>
  <si>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</si>
  <si>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</si>
  <si>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</si>
  <si>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</si>
  <si>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</si>
  <si>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</si>
  <si>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</si>
  <si>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</si>
  <si>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</si>
  <si>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</si>
  <si>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</si>
  <si>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</si>
  <si>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</si>
  <si>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</si>
  <si>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</si>
  <si>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</si>
  <si>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</si>
  <si>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</si>
  <si>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</si>
  <si>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</si>
  <si>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</si>
  <si>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</si>
  <si>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</si>
  <si>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</si>
  <si>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</si>
  <si>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</si>
  <si>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</si>
  <si>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</si>
  <si>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</si>
  <si>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</si>
  <si>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</si>
  <si>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</si>
  <si>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</si>
  <si>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</si>
  <si>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</si>
  <si>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</si>
  <si>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</si>
  <si>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</si>
  <si>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</si>
  <si>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</si>
  <si>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</si>
  <si>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</si>
  <si>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</si>
  <si>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</si>
  <si>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</si>
  <si>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</si>
  <si>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</si>
  <si>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</si>
  <si>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</si>
  <si>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</si>
  <si>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</si>
  <si>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</si>
  <si>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</si>
  <si>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</si>
  <si>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</si>
  <si>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</si>
  <si>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</si>
  <si>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</si>
  <si>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</si>
  <si>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</si>
  <si>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</si>
  <si>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</si>
  <si>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</si>
  <si>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</si>
  <si>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</si>
  <si>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</si>
  <si>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</si>
  <si>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</si>
  <si>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</si>
  <si>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</si>
  <si>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</si>
  <si>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</si>
  <si>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</si>
  <si>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</si>
  <si>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</si>
  <si>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</si>
  <si>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</si>
  <si>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</si>
  <si>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</si>
  <si>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</si>
  <si>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</si>
  <si>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</si>
  <si>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</si>
  <si>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</si>
  <si>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</si>
  <si>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</si>
  <si>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</si>
  <si>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</si>
  <si>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</si>
  <si>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</si>
  <si>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</si>
  <si>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</si>
  <si>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</si>
  <si>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</si>
  <si>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</si>
  <si>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</si>
  <si>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</si>
  <si>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</si>
  <si>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</si>
  <si>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</si>
  <si>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</si>
  <si>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</si>
  <si>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</si>
  <si>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</si>
  <si>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</si>
  <si>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</si>
  <si>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</si>
  <si>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</si>
  <si>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</si>
  <si>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</si>
  <si>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</si>
  <si>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</si>
  <si>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</si>
  <si>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</si>
  <si>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</si>
  <si>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</si>
  <si>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</si>
  <si>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</si>
  <si>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</si>
  <si>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</si>
  <si>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</si>
  <si>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</si>
  <si>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</si>
  <si>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</si>
  <si>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</si>
  <si>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</si>
  <si>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</si>
  <si>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</si>
  <si>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</si>
  <si>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</si>
  <si>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</si>
  <si>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</si>
  <si>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</si>
  <si>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</si>
  <si>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</si>
  <si>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</si>
  <si>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</si>
  <si>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</si>
  <si>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</si>
  <si>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</si>
  <si>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</si>
  <si>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</si>
  <si>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</si>
  <si>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</si>
  <si>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</si>
  <si>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</si>
  <si>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</si>
  <si>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</si>
  <si>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</si>
  <si>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</si>
  <si>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</si>
  <si>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</si>
  <si>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</si>
  <si>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</si>
  <si>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</si>
  <si>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</si>
  <si>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</si>
  <si>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</si>
  <si>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</si>
  <si>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</si>
  <si>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</si>
  <si>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</si>
  <si>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</si>
  <si>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</si>
  <si>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</si>
  <si>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</si>
  <si>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</si>
  <si>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</si>
  <si>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</si>
  <si>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</si>
  <si>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</si>
  <si>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</si>
  <si>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</si>
  <si>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</si>
  <si>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</si>
  <si>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</si>
  <si>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</si>
  <si>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</si>
  <si>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</si>
  <si>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</si>
  <si>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</si>
  <si>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</si>
  <si>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</si>
  <si>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</si>
  <si>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</si>
  <si>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</si>
  <si>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</si>
  <si>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</si>
  <si>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</si>
  <si>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</si>
  <si>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</si>
  <si>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</si>
  <si>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</si>
  <si>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</si>
  <si>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</si>
  <si>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</si>
  <si>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</si>
  <si>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</si>
  <si>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</si>
  <si>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</si>
  <si>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</si>
  <si>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</si>
  <si>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</si>
  <si>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</si>
  <si>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</si>
  <si>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</si>
  <si>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</si>
  <si>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</si>
  <si>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</si>
  <si>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</si>
  <si>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</si>
  <si>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</si>
  <si>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</si>
  <si>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</si>
  <si>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</si>
  <si>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</si>
  <si>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</si>
  <si>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</si>
  <si>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</si>
  <si>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</si>
  <si>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</si>
  <si>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</si>
  <si>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</si>
  <si>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</si>
  <si>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</si>
  <si>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</si>
  <si>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</si>
  <si>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</si>
  <si>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</si>
  <si>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</si>
  <si>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</si>
  <si>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</si>
  <si>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</si>
  <si>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</si>
  <si>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</si>
  <si>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</si>
  <si>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</si>
  <si>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</si>
  <si>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</si>
  <si>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</si>
  <si>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</si>
  <si>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</si>
  <si>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</si>
  <si>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</si>
  <si>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</si>
  <si>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</si>
  <si>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</si>
  <si>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</si>
  <si>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</si>
  <si>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</si>
  <si>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</si>
  <si>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</si>
  <si>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</si>
  <si>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</si>
  <si>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</si>
  <si>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</si>
  <si>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</si>
  <si>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</si>
  <si>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</si>
  <si>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</si>
  <si>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</si>
  <si>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</si>
  <si>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</si>
  <si>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</si>
  <si>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</si>
  <si>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</si>
  <si>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</si>
  <si>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</si>
  <si>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</si>
  <si>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</si>
  <si>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</si>
  <si>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</si>
  <si>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</si>
  <si>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</si>
  <si>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</si>
  <si>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</si>
  <si>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</si>
  <si>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</si>
  <si>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</si>
  <si>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</si>
  <si>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</si>
  <si>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</si>
  <si>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</si>
  <si>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</si>
  <si>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</si>
  <si>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</si>
  <si>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</si>
  <si>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</si>
  <si>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</si>
  <si>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</si>
  <si>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</si>
  <si>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</si>
  <si>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</si>
  <si>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</si>
  <si>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</si>
  <si>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</si>
  <si>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</si>
  <si>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</si>
  <si>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</si>
  <si>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</si>
  <si>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</si>
  <si>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</si>
  <si>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</si>
  <si>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</si>
  <si>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</si>
  <si>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</si>
  <si>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</si>
  <si>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</si>
  <si>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</si>
  <si>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</si>
  <si>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</si>
  <si>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</si>
  <si>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</si>
  <si>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</si>
  <si>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</si>
  <si>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</si>
  <si>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</si>
  <si>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</si>
  <si>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</si>
  <si>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</si>
  <si>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</si>
  <si>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</si>
  <si>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</si>
  <si>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</si>
  <si>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</si>
  <si>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</si>
  <si>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</si>
  <si>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</si>
  <si>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</si>
  <si>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</si>
  <si>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</si>
  <si>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</si>
  <si>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</si>
  <si>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</si>
  <si>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</si>
  <si>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</si>
  <si>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</si>
  <si>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</si>
  <si>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</si>
  <si>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</si>
  <si>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</si>
  <si>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</si>
  <si>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</si>
  <si>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</si>
  <si>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</si>
  <si>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</si>
  <si>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</si>
  <si>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</si>
  <si>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</si>
  <si>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</si>
  <si>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</si>
  <si>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</si>
  <si>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</si>
  <si>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</si>
  <si>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</si>
  <si>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</si>
  <si>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</si>
  <si>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</si>
  <si>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</si>
  <si>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</si>
  <si>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</si>
  <si>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</si>
  <si>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</si>
  <si>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</si>
  <si>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</si>
  <si>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</si>
  <si>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</si>
  <si>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</si>
  <si>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</si>
  <si>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</si>
  <si>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</si>
  <si>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</si>
  <si>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</si>
  <si>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</si>
  <si>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</si>
  <si>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</si>
  <si>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</si>
  <si>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</si>
  <si>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</si>
  <si>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</si>
  <si>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</si>
  <si>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</si>
  <si>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</si>
  <si>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</si>
  <si>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</si>
  <si>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</si>
  <si>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</si>
  <si>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</si>
  <si>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</si>
  <si>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</si>
  <si>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</si>
  <si>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</si>
  <si>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</si>
  <si>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</si>
  <si>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</si>
  <si>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</si>
  <si>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</si>
  <si>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</si>
  <si>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</si>
  <si>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</si>
  <si>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</si>
  <si>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</si>
  <si>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</si>
  <si>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</si>
  <si>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</si>
  <si>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</si>
  <si>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</si>
  <si>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</si>
  <si>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</si>
  <si>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</si>
  <si>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</si>
  <si>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</si>
  <si>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</si>
  <si>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</si>
  <si>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</si>
  <si>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</si>
  <si>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</si>
  <si>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</si>
  <si>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</si>
  <si>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</si>
  <si>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</si>
  <si>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</si>
  <si>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</si>
  <si>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</si>
  <si>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</si>
  <si>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</si>
  <si>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</si>
  <si>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</si>
  <si>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</si>
  <si>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</si>
  <si>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</si>
  <si>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</si>
  <si>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</si>
  <si>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</si>
  <si>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</si>
  <si>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</si>
  <si>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</si>
  <si>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</si>
  <si>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</si>
  <si>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</si>
  <si>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</si>
  <si>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</si>
  <si>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</si>
  <si>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</si>
  <si>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</si>
  <si>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</si>
  <si>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</si>
  <si>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</si>
  <si>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</si>
  <si>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</si>
  <si>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</si>
  <si>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</si>
  <si>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</si>
  <si>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</si>
  <si>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</si>
  <si>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</si>
  <si>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</si>
  <si>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</si>
  <si>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</si>
  <si>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</si>
  <si>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</si>
  <si>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</si>
  <si>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</si>
  <si>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</si>
  <si>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</si>
  <si>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</si>
  <si>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</si>
  <si>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</si>
  <si>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</si>
  <si>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</si>
  <si>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</si>
  <si>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</si>
  <si>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</si>
  <si>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</si>
  <si>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</si>
  <si>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</si>
  <si>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</si>
  <si>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</si>
  <si>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</si>
  <si>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</si>
  <si>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</si>
  <si>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</si>
  <si>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</si>
  <si>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</si>
  <si>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</si>
  <si>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</si>
  <si>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</si>
  <si>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</si>
  <si>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</si>
  <si>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</si>
  <si>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</si>
  <si>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</si>
  <si>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</si>
  <si>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</si>
  <si>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</si>
  <si>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</si>
  <si>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475</t>
  </si>
  <si>
    <t>METROPOLITAN LIFE INSURANCE CO</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</si>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</sst>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row>
    <row r="12" spans="1:6" x14ac:dyDescent="0.2">
      <c r="B12" s="233" t="s">
        <v>35</v>
      </c>
      <c r="C12" s="379" t="s">
        <v>149</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2714131</v>
      </c>
      <c r="E5" s="107">
        <f>SUM('Pt 2 Premium and Claims'!E$5,'Pt 2 Premium and Claims'!E$6,-'Pt 2 Premium and Claims'!E$7,-'Pt 2 Premium and Claims'!E$13,'Pt 2 Premium and Claims'!E$14:'Pt 2 Premium and Claims'!E$17)</f>
        <v>2323142</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f>SUM('Pt 2 Premium and Claims'!AN$5,'Pt 2 Premium and Claims'!AN$6,-'Pt 2 Premium and Claims'!AN$7,-'Pt 2 Premium and Claims'!AN$13,'Pt 2 Premium and Claims'!AN$14)</f>
        <v>0</v>
      </c>
      <c r="AO5" s="107">
        <f>SUM('Pt 2 Premium and Claims'!AO$5,'Pt 2 Premium and Claims'!AO$6,-'Pt 2 Premium and Claims'!AO$7,-'Pt 2 Premium and Claims'!AO$13,'Pt 2 Premium and Claims'!AO$14)</f>
        <v>0</v>
      </c>
      <c r="AP5" s="107">
        <f>SUM('Pt 2 Premium and Claims'!AP$5,'Pt 2 Premium and Claims'!AP$6,-'Pt 2 Premium and Claims'!AP$7,-'Pt 2 Premium and Claims'!AP$13,'Pt 2 Premium and Claims'!AP$14)</f>
        <v>0</v>
      </c>
      <c r="AQ5" s="107">
        <f>SUM('Pt 2 Premium and Claims'!AQ$5,'Pt 2 Premium and Claims'!AQ$6,-'Pt 2 Premium and Claims'!AQ$7,-'Pt 2 Premium and Claims'!AQ$13,'Pt 2 Premium and Claims'!AQ$14)</f>
        <v>0</v>
      </c>
      <c r="AR5" s="107">
        <f>SUM('Pt 2 Premium and Claims'!AR$5,'Pt 2 Premium and Claims'!AR$6,-'Pt 2 Premium and Claims'!AR$7,-'Pt 2 Premium and Claims'!AR$13,'Pt 2 Premium and Claims'!AR$14)</f>
        <v>0</v>
      </c>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153729033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-244</v>
      </c>
      <c r="E7" s="111">
        <v>-244</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-101526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-40382059</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3886547</v>
      </c>
      <c r="E12" s="107">
        <f>'Pt 2 Premium and Claims'!E$54</f>
        <v>6890520</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f>'Pt 2 Premium and Claims'!AN$54</f>
        <v>0</v>
      </c>
      <c r="AO12" s="107">
        <f>'Pt 2 Premium and Claims'!AO$54</f>
        <v>0</v>
      </c>
      <c r="AP12" s="107">
        <f>'Pt 2 Premium and Claims'!AP$54</f>
        <v>0</v>
      </c>
      <c r="AQ12" s="107">
        <f>'Pt 2 Premium and Claims'!AQ$54</f>
        <v>0</v>
      </c>
      <c r="AR12" s="107">
        <f>'Pt 2 Premium and Claims'!AR$54</f>
        <v>0</v>
      </c>
      <c r="AS12" s="106">
        <f>'Pt 2 Premium and Claims'!AS$54</f>
        <v>0</v>
      </c>
      <c r="AT12" s="108">
        <f>'Pt 2 Premium and Claims'!AT$54</f>
        <v>240059350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-75339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55736</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-107357416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-654132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f>'Pt 2 Premium and Claims'!AN$55</f>
        <v>0</v>
      </c>
      <c r="AO22" s="116">
        <f>'Pt 2 Premium and Claims'!AO$55</f>
        <v>0</v>
      </c>
      <c r="AP22" s="116">
        <f>'Pt 2 Premium and Claims'!AP$55</f>
        <v>0</v>
      </c>
      <c r="AQ22" s="116">
        <f>'Pt 2 Premium and Claims'!AQ$55</f>
        <v>0</v>
      </c>
      <c r="AR22" s="116">
        <f>'Pt 2 Premium and Claims'!AR$55</f>
        <v>0</v>
      </c>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133</v>
      </c>
      <c r="E25" s="111">
        <v>133</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7431</v>
      </c>
      <c r="E30" s="111">
        <v>7431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1269</v>
      </c>
      <c r="E35" s="111">
        <v>1269</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323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207143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206487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8497</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1412510</v>
      </c>
      <c r="AU45" s="114"/>
      <c r="AV45" s="114"/>
      <c r="AW45" s="319"/>
    </row>
    <row r="46" spans="1:49" x14ac:dyDescent="0.2">
      <c r="B46" s="162" t="s">
        <v>263</v>
      </c>
      <c r="C46" s="63" t="s">
        <v>20</v>
      </c>
      <c r="D46" s="110">
        <v>85972</v>
      </c>
      <c r="E46" s="111">
        <v>85972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4879404</v>
      </c>
      <c r="AU46" s="114"/>
      <c r="AV46" s="114"/>
      <c r="AW46" s="319"/>
    </row>
    <row r="47" spans="1:49" x14ac:dyDescent="0.2">
      <c r="B47" s="162" t="s">
        <v>264</v>
      </c>
      <c r="C47" s="63" t="s">
        <v>21</v>
      </c>
      <c r="D47" s="110">
        <v>533416</v>
      </c>
      <c r="E47" s="111">
        <v>533416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30274687</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422563</v>
      </c>
      <c r="E51" s="111">
        <v>422563</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23982959</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1565</v>
      </c>
      <c r="E56" s="123">
        <v>1565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80237</v>
      </c>
      <c r="AU56" s="124"/>
      <c r="AV56" s="124"/>
      <c r="AW56" s="310"/>
    </row>
    <row r="57" spans="2:49" x14ac:dyDescent="0.2">
      <c r="B57" s="162" t="s">
        <v>273</v>
      </c>
      <c r="C57" s="63" t="s">
        <v>25</v>
      </c>
      <c r="D57" s="125">
        <v>2287</v>
      </c>
      <c r="E57" s="126">
        <v>2287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456632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3894</v>
      </c>
      <c r="AU58" s="127"/>
      <c r="AV58" s="127"/>
      <c r="AW58" s="311"/>
    </row>
    <row r="59" spans="2:49" x14ac:dyDescent="0.2">
      <c r="B59" s="162" t="s">
        <v>275</v>
      </c>
      <c r="C59" s="63" t="s">
        <v>27</v>
      </c>
      <c r="D59" s="125">
        <v>29193</v>
      </c>
      <c r="E59" s="126">
        <v>29193</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5838927</v>
      </c>
      <c r="AU59" s="127"/>
      <c r="AV59" s="127"/>
      <c r="AW59" s="311"/>
    </row>
    <row r="60" spans="2:49" x14ac:dyDescent="0.2">
      <c r="B60" s="162" t="s">
        <v>276</v>
      </c>
      <c r="C60" s="63"/>
      <c r="D60" s="128">
        <f t="shared" ref="D60:AC60" si="0">D$59/12</f>
        <v>2432.75</v>
      </c>
      <c r="E60" s="129">
        <f t="shared" si="0"/>
        <v>2432.75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f t="shared" ref="AN60:AV60" si="1">AN$59/12</f>
        <v>0</v>
      </c>
      <c r="AO60" s="129">
        <f t="shared" si="1"/>
        <v>0</v>
      </c>
      <c r="AP60" s="129">
        <f t="shared" si="1"/>
        <v>0</v>
      </c>
      <c r="AQ60" s="129">
        <f t="shared" si="1"/>
        <v>0</v>
      </c>
      <c r="AR60" s="129">
        <f t="shared" si="1"/>
        <v>0</v>
      </c>
      <c r="AS60" s="128">
        <f t="shared" si="1"/>
        <v>0</v>
      </c>
      <c r="AT60" s="130">
        <f t="shared" si="1"/>
        <v>486577.25</v>
      </c>
      <c r="AU60" s="130">
        <f t="shared" si="1"/>
        <v>0</v>
      </c>
      <c r="AV60" s="130">
        <f t="shared" si="1"/>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233184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-51630137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2428875</v>
      </c>
      <c r="E5" s="119">
        <v>2428875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152967253</v>
      </c>
      <c r="AU5" s="120"/>
      <c r="AV5" s="313"/>
      <c r="AW5" s="318"/>
    </row>
    <row r="6" spans="2:49" x14ac:dyDescent="0.2">
      <c r="B6" s="177" t="s">
        <v>279</v>
      </c>
      <c r="C6" s="134" t="s">
        <v>8</v>
      </c>
      <c r="D6" s="110">
        <v>390989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7436166</v>
      </c>
      <c r="AU6" s="114"/>
      <c r="AV6" s="312"/>
      <c r="AW6" s="319"/>
    </row>
    <row r="7" spans="2:49" x14ac:dyDescent="0.2">
      <c r="B7" s="177" t="s">
        <v>280</v>
      </c>
      <c r="C7" s="134" t="s">
        <v>9</v>
      </c>
      <c r="D7" s="110">
        <v>105733</v>
      </c>
      <c r="E7" s="111">
        <v>105733</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6674386</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2739834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-24860879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3549123</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107417226</v>
      </c>
      <c r="AU23" s="114"/>
      <c r="AV23" s="312"/>
      <c r="AW23" s="319"/>
    </row>
    <row r="24" spans="2:49" ht="28.5" customHeight="1" x14ac:dyDescent="0.2">
      <c r="B24" s="179" t="s">
        <v>114</v>
      </c>
      <c r="C24" s="134"/>
      <c r="D24" s="294"/>
      <c r="E24" s="111">
        <v>3549123</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765849</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33208542</v>
      </c>
      <c r="AU26" s="114"/>
      <c r="AV26" s="312"/>
      <c r="AW26" s="319"/>
    </row>
    <row r="27" spans="2:49" s="6" customFormat="1" ht="25.5" x14ac:dyDescent="0.2">
      <c r="B27" s="179" t="s">
        <v>85</v>
      </c>
      <c r="C27" s="134"/>
      <c r="D27" s="294"/>
      <c r="E27" s="111">
        <v>765849</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857928</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37201309</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1254039</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242928996</v>
      </c>
      <c r="AU30" s="114"/>
      <c r="AV30" s="312"/>
      <c r="AW30" s="319"/>
    </row>
    <row r="31" spans="2:49" s="6" customFormat="1" ht="25.5" x14ac:dyDescent="0.2">
      <c r="B31" s="179" t="s">
        <v>84</v>
      </c>
      <c r="C31" s="134"/>
      <c r="D31" s="294"/>
      <c r="E31" s="111">
        <v>1254039</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914811</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177214700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1321509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1038204901</v>
      </c>
      <c r="AU34" s="114"/>
      <c r="AV34" s="312"/>
      <c r="AW34" s="319"/>
    </row>
    <row r="35" spans="2:49" s="6" customFormat="1" x14ac:dyDescent="0.2">
      <c r="B35" s="179" t="s">
        <v>91</v>
      </c>
      <c r="C35" s="134"/>
      <c r="D35" s="294"/>
      <c r="E35" s="111">
        <v>1321509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1231234</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967283891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415</v>
      </c>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3886547</v>
      </c>
      <c r="E54" s="116">
        <f>E24+E27+E31+E35-E36+E39+E42+E45+E46-E49+E51+E52+E53</f>
        <v>6890520</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f>AN23+AN26-AN28+AN30-AN32+AN34-AN36+AN38+AN41-AN43+AN45+AN46-AN47-AN49+AN50+AN51+AN52+AN53</f>
        <v>0</v>
      </c>
      <c r="AO54" s="116">
        <f>AO24+AO27+AO31+AO35-AO36+AO39+AO42+AO45+AO46-AO49+AO51+AO52+AO53</f>
        <v>0</v>
      </c>
      <c r="AP54" s="116">
        <f>AP24+AP27+AP31+AP35-AP36+AP39+AP42+AP45+AP46-AP49+AP51+AP52+AP53</f>
        <v>0</v>
      </c>
      <c r="AQ54" s="116">
        <f>AQ24+AQ27+AQ31+AQ35-AQ36+AQ39+AQ42+AQ45+AQ46-AQ49+AQ51+AQ52+AQ53</f>
        <v>0</v>
      </c>
      <c r="AR54" s="116">
        <f>AR24+AR27+AR31+AR35-AR36+AR39+AR42+AR45+AR46-AR49+AR51+AR52+AR53</f>
        <v>0</v>
      </c>
      <c r="AS54" s="115">
        <f>AS23+AS26-AS28+AS30-AS32+AS34-AS36+AS38+AS41-AS43+AS45+AS46-AS47-AS49+AS50+AS51+AS52+AS53</f>
        <v>0</v>
      </c>
      <c r="AT54" s="117">
        <f>AT23+AT26-AT28+AT30-AT32+AT34-AT36+AT38+AT41-AT43+AT45+AT46-AT47-AT49+AT50+AT51+AT52+AT53</f>
        <v>240059350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f t="shared" ref="AN55:AU55" si="1">MIN(MAX(0,AN56),MAX(0,AN57))</f>
        <v>0</v>
      </c>
      <c r="AO55" s="116">
        <f t="shared" si="1"/>
        <v>0</v>
      </c>
      <c r="AP55" s="116">
        <f t="shared" si="1"/>
        <v>0</v>
      </c>
      <c r="AQ55" s="116">
        <f t="shared" si="1"/>
        <v>0</v>
      </c>
      <c r="AR55" s="116">
        <f t="shared" si="1"/>
        <v>0</v>
      </c>
      <c r="AS55" s="115">
        <f t="shared" si="1"/>
        <v>0</v>
      </c>
      <c r="AT55" s="117">
        <f t="shared" si="1"/>
        <v>0</v>
      </c>
      <c r="AU55" s="117">
        <f t="shared" si="1"/>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R49" sqref="R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f>SUM('Pt 1 Summary of Data'!E$12,'Pt 1 Summary of Data'!E$22)+SUM('Pt 1 Summary of Data'!G$12,'Pt 1 Summary of Data'!G$22)-SUM('Pt 1 Summary of Data'!H$12,'Pt 1 Summary of Data'!H$22)</f>
        <v>6890520</v>
      </c>
      <c r="F6" s="116">
        <f t="shared" ref="F6:F11" si="0">SUM(C6:E6)</f>
        <v>6890520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f>SUM('Pt 1 Summary of Data'!AO$12,'Pt 1 Summary of Data'!AO$22)+SUM('Pt 1 Summary of Data'!AQ$12,'Pt 1 Summary of Data'!AQ$22)-SUM('Pt 1 Summary of Data'!AR$12,'Pt 1 Summary of Data'!AR$22)</f>
        <v>0</v>
      </c>
      <c r="AN6" s="254">
        <f>IF(AM$37&lt;75000,AL6+AM6,AM6)</f>
        <v>0</v>
      </c>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f>SUM('Pt 1 Summary of Data'!AO$37:AO$41)+SUM('Pt 1 Summary of Data'!AQ$37:AQ$41)-SUM('Pt 1 Summary of Data'!AR$37:AR$41)+MAX(0,MIN('Pt 1 Summary of Data'!AO$42+'Pt 1 Summary of Data'!AQ$42-'Pt 1 Summary of Data'!AR$42,0.3%*('Pt 1 Summary of Data'!AO$5+'Pt 1 Summary of Data'!AQ$5-'Pt 1 Summary of Data'!AR$5)))</f>
        <v>0</v>
      </c>
      <c r="AN7" s="254">
        <f>IF(AM$37&lt;75000,AL7+AM7,AM7)</f>
        <v>0</v>
      </c>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0</v>
      </c>
      <c r="D12" s="116">
        <f>SUM(D$6:D$7)+IF(AND(OR('Company Information'!$C$12="District of Columbia",'Company Information'!$C$12="Massachusetts",'Company Information'!$C$12="Vermont"),SUM($C$6:$F$11,$C$15:$F$16,$C$37:$D$37)&lt;&gt;0),SUM(I$6:I$7),0)</f>
        <v>0</v>
      </c>
      <c r="E12" s="116">
        <f>SUM(E$6:E$7)-SUM(E$8:E$11)+IF(AND(OR('Company Information'!$C$12="District of Columbia",'Company Information'!$C$12="Massachusetts",'Company Information'!$C$12="Vermont"),SUM($C$6:$F$11,$C$15:$F$16,$C$37:$D$37)&lt;&gt;0),SUM(J$6:J$7)-SUM(J$10:J$11),0)</f>
        <v>6890520</v>
      </c>
      <c r="F12" s="116">
        <f>IFERROR(SUM(C$12:E$12)+C$17*MAX(0,E$49-C$49)+D$17*MAX(0,E$49-D$49),0)</f>
        <v>6890520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f>SUM(AL$6:AL$7)</f>
        <v>0</v>
      </c>
      <c r="AM13" s="116">
        <f>SUM(AM$6:AM$7)</f>
        <v>0</v>
      </c>
      <c r="AN13" s="254">
        <f>IF(AM$37&lt;75000,AL$13+AM$13,AM$13)</f>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f>SUM('Pt 1 Summary of Data'!E$5:E$7)+SUM('Pt 1 Summary of Data'!G$5:G$7)-SUM('Pt 1 Summary of Data'!H$5:H$7)-SUM(E$9:E$11)+D$55</f>
        <v>2322898</v>
      </c>
      <c r="F15" s="107">
        <f>SUM(C15:E15)</f>
        <v>2322898</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f>SUM('Pt 1 Summary of Data'!AO$5:AO$7)+SUM('Pt 1 Summary of Data'!AQ$5:AQ$7)-SUM('Pt 1 Summary of Data'!AR$5:AR$7)+AL$55</f>
        <v>0</v>
      </c>
      <c r="AN15" s="255">
        <f>IF(AM$37&lt;75000,AL15+AM15,AM15)</f>
        <v>0</v>
      </c>
    </row>
    <row r="16" spans="1:40" x14ac:dyDescent="0.2">
      <c r="B16" s="192" t="s">
        <v>313</v>
      </c>
      <c r="C16" s="110"/>
      <c r="D16" s="111"/>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8833</v>
      </c>
      <c r="F16" s="116">
        <f>SUM(C16:E16)</f>
        <v>8833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4">
        <f>IF(AM$37&lt;75000,AL16+AM16,AM16)</f>
        <v>0</v>
      </c>
    </row>
    <row r="17" spans="1:40" s="77" customFormat="1" x14ac:dyDescent="0.2">
      <c r="A17" s="144"/>
      <c r="B17" s="193" t="s">
        <v>320</v>
      </c>
      <c r="C17" s="115">
        <f>C$15-C$16+IF(AND(OR('Company Information'!$C$12="District of Columbia",'Company Information'!$C$12="Massachusetts",'Company Information'!$C$12="Vermont"),SUM($C$6:$F$11,$C$15:$F$16,$C$37:$D$37)&lt;&gt;0),H$15-H$16,0)</f>
        <v>0</v>
      </c>
      <c r="D17" s="116">
        <f>D$15-D$16+IF(AND(OR('Company Information'!$C$12="District of Columbia",'Company Information'!$C$12="Massachusetts",'Company Information'!$C$12="Vermont"),SUM($C$6:$F$11,$C$15:$F$16,$C$37:$D$37)&lt;&gt;0),I$15-I$16,0)</f>
        <v>0</v>
      </c>
      <c r="E17" s="116">
        <f>E$15-E$16+IF(AND(OR('Company Information'!$C$12="District of Columbia",'Company Information'!$C$12="Massachusetts",'Company Information'!$C$12="Vermont"),SUM($C$6:$F$11,$C$15:$F$16,$C$37:$D$37)&lt;&gt;0),J$15-J$16,0)</f>
        <v>2314065</v>
      </c>
      <c r="F17" s="116">
        <f>F$15-F$16+IF(AND(OR('Company Information'!$C$12="District of Columbia",'Company Information'!$C$12="Massachusetts",'Company Information'!$C$12="Vermont"),SUM($C$6:$F$11,$C$15:$F$16,$C$37:$D$37)&lt;&gt;0),K$15-K$16,0)</f>
        <v>2314065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f>AL$15-AL$16</f>
        <v>0</v>
      </c>
      <c r="AM17" s="116">
        <f>AM$15-AM$16</f>
        <v>0</v>
      </c>
      <c r="AN17" s="254">
        <f>AN$15-AN$16</f>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v>2897.1666666666665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2432.75</v>
      </c>
      <c r="F37" s="257">
        <f>SUM(C$37:E$37)+IF(AND(OR('Company Information'!$C$12="District of Columbia",'Company Information'!$C$12="Massachusetts",'Company Information'!$C$12="Vermont"),SUM($C$6:$F$11,$C$15:$F$16,$C$37:$D$37)&lt;&gt;0,SUM(C$37:D$37)&lt;&gt;SUM(H$37:I$37)),SUM(H$37:I$37),0)</f>
        <v>5329.9166666666661</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f>('Pt 1 Summary of Data'!AO$59+'Pt 1 Summary of Data'!AQ$59-'Pt 1 Summary of Data'!AR$59)/12</f>
        <v>0</v>
      </c>
      <c r="AN37" s="258">
        <f>IF(AM$37&lt;75000,AL37+AM37,AM37)</f>
        <v>0</v>
      </c>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3.6274183333333335E-2</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2" t="s">
        <v>325</v>
      </c>
      <c r="C41" s="293"/>
      <c r="D41" s="289"/>
      <c r="E41" s="289"/>
      <c r="F41" s="261">
        <f ca="1">IF(OR(F$37&lt;1000,F$37&gt;=75000),0,F$38*F$40)</f>
        <v>3.6274183333333335E-2</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f>IF(OR(AN$37&lt;1000,AN$37&gt;=75000),0,AN$38*AN$40)</f>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f>IF(OR(E$37&lt;1000,E$17&lt;=0),"",E$12/E$17)</f>
        <v>2.9776691665964439</v>
      </c>
      <c r="F44" s="261">
        <f>IF(OR(F$37&lt;1000,F$17&lt;=0),"",F$12/F$17)</f>
        <v>2.9776691665964439</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t="str">
        <f>IF(OR(AL$37&lt;1000,AL$17&lt;=0),"",AL$13/AL$17)</f>
        <v/>
      </c>
      <c r="AM45" s="261" t="str">
        <f>IF(OR(AM$37&lt;1000,AM$17&lt;=0),"",AM$13/AM$17)</f>
        <v/>
      </c>
      <c r="AN45" s="262" t="str">
        <f>IF(OR(AN$37&lt;1000,AN$17&lt;=0),"",AN$13/AN$17)</f>
        <v/>
      </c>
    </row>
    <row r="46" spans="1:40" x14ac:dyDescent="0.2">
      <c r="B46" s="198" t="s">
        <v>330</v>
      </c>
      <c r="C46" s="293"/>
      <c r="D46" s="289"/>
      <c r="E46" s="289"/>
      <c r="F46" s="261">
        <f ca="1">IF(F$44="","",F$41)</f>
        <v>3.6274183333333335E-2</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t="str">
        <f>IF(AN$45="","",AN$41)</f>
        <v/>
      </c>
    </row>
    <row r="47" spans="1:40" s="77" customFormat="1" x14ac:dyDescent="0.2">
      <c r="A47" s="144"/>
      <c r="B47" s="200" t="s">
        <v>329</v>
      </c>
      <c r="C47" s="293"/>
      <c r="D47" s="289"/>
      <c r="E47" s="289"/>
      <c r="F47" s="261">
        <f ca="1">IF(F$44="","",ROUND(F$44+MAX(0,F$46),3))</f>
        <v>3.0139999999999998</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t="str">
        <f>IF(AN$45="","",ROUND(AN$45+MAX(0,AN$46),3))</f>
        <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v>
      </c>
      <c r="D49" s="142">
        <v>0</v>
      </c>
      <c r="E49" s="142">
        <v>0</v>
      </c>
      <c r="F49" s="142">
        <v>0</v>
      </c>
      <c r="G49" s="313"/>
      <c r="H49" s="141">
        <v>0</v>
      </c>
      <c r="I49" s="142">
        <v>0</v>
      </c>
      <c r="J49" s="142">
        <v>0</v>
      </c>
      <c r="K49" s="142">
        <v>0</v>
      </c>
      <c r="L49" s="313"/>
      <c r="M49" s="141">
        <v>0</v>
      </c>
      <c r="N49" s="142">
        <v>0</v>
      </c>
      <c r="O49" s="142">
        <v>0</v>
      </c>
      <c r="P49" s="142">
        <v>0</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f ca="1">F$47</f>
        <v>3.0139999999999998</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t="str">
        <f>AN$47</f>
        <v/>
      </c>
    </row>
    <row r="51" spans="1:40" x14ac:dyDescent="0.2">
      <c r="B51" s="196" t="s">
        <v>334</v>
      </c>
      <c r="C51" s="293"/>
      <c r="D51" s="289"/>
      <c r="E51" s="289"/>
      <c r="F51" s="116">
        <f>IF(F$37&lt;1000,"",MAX(0,E$15-E$16))</f>
        <v>2314065</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t="str">
        <f>IF(AN$37&lt;1000,"",MAX(0,AM$15-AM$16))</f>
        <v/>
      </c>
    </row>
    <row r="52" spans="1:40" s="77" customFormat="1" ht="26.25" customHeight="1" x14ac:dyDescent="0.2">
      <c r="A52" s="144"/>
      <c r="B52" s="193" t="s">
        <v>335</v>
      </c>
      <c r="C52" s="293"/>
      <c r="D52" s="289"/>
      <c r="E52" s="289"/>
      <c r="F52" s="116">
        <f ca="1">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f>IF(OR(AN$37&lt;1000,AN$17&lt;=0),0,MAX(0,AN$49-AN$50)*AN$51)</f>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72" yWindow="36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1565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f>'Pt 1 Summary of Data'!$AO$56+'Pt 1 Summary of Data'!$AQ$56-'Pt 1 Summary of Data'!$AR$56</f>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 ca="1">'Pt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f>'Pt 3 MLR and Rebate Calculation'!$AN$52</f>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504</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505</v>
      </c>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506</v>
      </c>
      <c r="E27" s="8"/>
    </row>
    <row r="28" spans="2:5" ht="35.25" customHeight="1" x14ac:dyDescent="0.2">
      <c r="B28" s="220"/>
      <c r="C28" s="151"/>
      <c r="D28" s="223" t="s">
        <v>507</v>
      </c>
      <c r="E28" s="8"/>
    </row>
    <row r="29" spans="2:5" ht="35.25" customHeight="1" x14ac:dyDescent="0.2">
      <c r="B29" s="220"/>
      <c r="C29" s="151"/>
      <c r="D29" s="223" t="s">
        <v>508</v>
      </c>
      <c r="E29" s="8"/>
    </row>
    <row r="30" spans="2:5" ht="35.25" customHeight="1" x14ac:dyDescent="0.2">
      <c r="B30" s="220"/>
      <c r="C30" s="151"/>
      <c r="D30" s="223" t="s">
        <v>509</v>
      </c>
      <c r="E30" s="8"/>
    </row>
    <row r="31" spans="2:5" ht="35.25" customHeight="1" x14ac:dyDescent="0.2">
      <c r="B31" s="220"/>
      <c r="C31" s="151"/>
      <c r="D31" s="223" t="s">
        <v>510</v>
      </c>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511</v>
      </c>
      <c r="E34" s="8"/>
    </row>
    <row r="35" spans="2:5" ht="35.25" customHeight="1" x14ac:dyDescent="0.2">
      <c r="B35" s="220"/>
      <c r="C35" s="151"/>
      <c r="D35" s="223" t="s">
        <v>512</v>
      </c>
      <c r="E35" s="8"/>
    </row>
    <row r="36" spans="2:5" ht="35.25" customHeight="1" x14ac:dyDescent="0.2">
      <c r="B36" s="220"/>
      <c r="C36" s="151"/>
      <c r="D36" s="223" t="s">
        <v>513</v>
      </c>
      <c r="E36" s="8"/>
    </row>
    <row r="37" spans="2:5" ht="35.25" customHeight="1" x14ac:dyDescent="0.2">
      <c r="B37" s="220"/>
      <c r="C37" s="151"/>
      <c r="D37" s="223" t="s">
        <v>514</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515</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516</v>
      </c>
      <c r="E48" s="8"/>
    </row>
    <row r="49" spans="2:5" ht="35.25" customHeight="1" x14ac:dyDescent="0.2">
      <c r="B49" s="220"/>
      <c r="C49" s="151"/>
      <c r="D49" s="223" t="s">
        <v>517</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518</v>
      </c>
      <c r="E56" s="8"/>
    </row>
    <row r="57" spans="2:5" ht="35.25" customHeight="1" x14ac:dyDescent="0.2">
      <c r="B57" s="220"/>
      <c r="C57" s="153"/>
      <c r="D57" s="223" t="s">
        <v>519</v>
      </c>
      <c r="E57" s="8"/>
    </row>
    <row r="58" spans="2:5" ht="35.25" customHeight="1" x14ac:dyDescent="0.2">
      <c r="B58" s="220"/>
      <c r="C58" s="153"/>
      <c r="D58" s="223" t="s">
        <v>520</v>
      </c>
      <c r="E58" s="8"/>
    </row>
    <row r="59" spans="2:5" ht="35.25" customHeight="1" x14ac:dyDescent="0.2">
      <c r="B59" s="220"/>
      <c r="C59" s="153"/>
      <c r="D59" s="223" t="s">
        <v>521</v>
      </c>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518</v>
      </c>
      <c r="E67" s="8"/>
    </row>
    <row r="68" spans="2:5" ht="35.25" customHeight="1" x14ac:dyDescent="0.2">
      <c r="B68" s="220"/>
      <c r="C68" s="153"/>
      <c r="D68" s="223" t="s">
        <v>519</v>
      </c>
      <c r="E68" s="8"/>
    </row>
    <row r="69" spans="2:5" ht="35.25" customHeight="1" x14ac:dyDescent="0.2">
      <c r="B69" s="220"/>
      <c r="C69" s="153"/>
      <c r="D69" s="223" t="s">
        <v>520</v>
      </c>
      <c r="E69" s="8"/>
    </row>
    <row r="70" spans="2:5" ht="35.25" customHeight="1" x14ac:dyDescent="0.2">
      <c r="B70" s="220"/>
      <c r="C70" s="153"/>
      <c r="D70" s="223" t="s">
        <v>521</v>
      </c>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518</v>
      </c>
      <c r="E78" s="8"/>
    </row>
    <row r="79" spans="2:5" ht="35.25" customHeight="1" x14ac:dyDescent="0.2">
      <c r="B79" s="220"/>
      <c r="C79" s="153"/>
      <c r="D79" s="223" t="s">
        <v>519</v>
      </c>
      <c r="E79" s="8"/>
    </row>
    <row r="80" spans="2:5" ht="35.25" customHeight="1" x14ac:dyDescent="0.2">
      <c r="B80" s="220"/>
      <c r="C80" s="153"/>
      <c r="D80" s="223" t="s">
        <v>520</v>
      </c>
      <c r="E80" s="8"/>
    </row>
    <row r="81" spans="2:5" ht="35.25" customHeight="1" x14ac:dyDescent="0.2">
      <c r="B81" s="220"/>
      <c r="C81" s="153"/>
      <c r="D81" s="223" t="s">
        <v>521</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518</v>
      </c>
      <c r="E89" s="8"/>
    </row>
    <row r="90" spans="2:5" ht="35.25" customHeight="1" x14ac:dyDescent="0.2">
      <c r="B90" s="220"/>
      <c r="C90" s="153"/>
      <c r="D90" s="223" t="s">
        <v>519</v>
      </c>
      <c r="E90" s="8"/>
    </row>
    <row r="91" spans="2:5" ht="35.25" customHeight="1" x14ac:dyDescent="0.2">
      <c r="B91" s="220"/>
      <c r="C91" s="153"/>
      <c r="D91" s="223" t="s">
        <v>520</v>
      </c>
      <c r="E91" s="8"/>
    </row>
    <row r="92" spans="2:5" ht="35.25" customHeight="1" x14ac:dyDescent="0.2">
      <c r="B92" s="220"/>
      <c r="C92" s="153"/>
      <c r="D92" s="223" t="s">
        <v>521</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522</v>
      </c>
      <c r="E100" s="8"/>
    </row>
    <row r="101" spans="2:5" ht="35.25" customHeight="1" x14ac:dyDescent="0.2">
      <c r="B101" s="220"/>
      <c r="C101" s="153"/>
      <c r="D101" s="223" t="s">
        <v>523</v>
      </c>
      <c r="E101" s="8"/>
    </row>
    <row r="102" spans="2:5" ht="35.25" customHeight="1" x14ac:dyDescent="0.2">
      <c r="B102" s="220"/>
      <c r="C102" s="153"/>
      <c r="D102" s="223" t="s">
        <v>524</v>
      </c>
      <c r="E102" s="8"/>
    </row>
    <row r="103" spans="2:5" ht="35.25" customHeight="1" x14ac:dyDescent="0.2">
      <c r="B103" s="220"/>
      <c r="C103" s="153"/>
      <c r="D103" s="223" t="s">
        <v>525</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518</v>
      </c>
      <c r="E111" s="28"/>
    </row>
    <row r="112" spans="2:5" s="6" customFormat="1" ht="35.25" customHeight="1" x14ac:dyDescent="0.2">
      <c r="B112" s="220"/>
      <c r="C112" s="153"/>
      <c r="D112" s="223" t="s">
        <v>519</v>
      </c>
      <c r="E112" s="28"/>
    </row>
    <row r="113" spans="2:5" s="6" customFormat="1" ht="35.25" customHeight="1" x14ac:dyDescent="0.2">
      <c r="B113" s="220"/>
      <c r="C113" s="153"/>
      <c r="D113" s="223" t="s">
        <v>520</v>
      </c>
      <c r="E113" s="28"/>
    </row>
    <row r="114" spans="2:5" s="6" customFormat="1" ht="35.25" customHeight="1" x14ac:dyDescent="0.2">
      <c r="B114" s="220"/>
      <c r="C114" s="153"/>
      <c r="D114" s="223" t="s">
        <v>521</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518</v>
      </c>
      <c r="E123" s="8"/>
    </row>
    <row r="124" spans="2:5" s="6" customFormat="1" ht="35.25" customHeight="1" x14ac:dyDescent="0.2">
      <c r="B124" s="220"/>
      <c r="C124" s="151"/>
      <c r="D124" s="223" t="s">
        <v>519</v>
      </c>
      <c r="E124" s="28"/>
    </row>
    <row r="125" spans="2:5" s="6" customFormat="1" ht="35.25" customHeight="1" x14ac:dyDescent="0.2">
      <c r="B125" s="220"/>
      <c r="C125" s="151"/>
      <c r="D125" s="223" t="s">
        <v>520</v>
      </c>
      <c r="E125" s="28"/>
    </row>
    <row r="126" spans="2:5" s="6" customFormat="1" ht="35.25" customHeight="1" x14ac:dyDescent="0.2">
      <c r="B126" s="220"/>
      <c r="C126" s="151"/>
      <c r="D126" s="223" t="s">
        <v>521</v>
      </c>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518</v>
      </c>
      <c r="E134" s="28"/>
    </row>
    <row r="135" spans="2:5" s="6" customFormat="1" ht="35.25" customHeight="1" x14ac:dyDescent="0.2">
      <c r="B135" s="220"/>
      <c r="C135" s="151"/>
      <c r="D135" s="223" t="s">
        <v>519</v>
      </c>
      <c r="E135" s="28"/>
    </row>
    <row r="136" spans="2:5" s="6" customFormat="1" ht="35.25" customHeight="1" x14ac:dyDescent="0.2">
      <c r="B136" s="220"/>
      <c r="C136" s="151"/>
      <c r="D136" s="223" t="s">
        <v>520</v>
      </c>
      <c r="E136" s="28"/>
    </row>
    <row r="137" spans="2:5" s="6" customFormat="1" ht="35.25" customHeight="1" x14ac:dyDescent="0.2">
      <c r="B137" s="220"/>
      <c r="C137" s="151"/>
      <c r="D137" s="223" t="s">
        <v>521</v>
      </c>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519</v>
      </c>
      <c r="E145" s="28"/>
    </row>
    <row r="146" spans="2:5" s="6" customFormat="1" ht="35.25" customHeight="1" x14ac:dyDescent="0.2">
      <c r="B146" s="220"/>
      <c r="C146" s="151"/>
      <c r="D146" s="223" t="s">
        <v>520</v>
      </c>
      <c r="E146" s="28"/>
    </row>
    <row r="147" spans="2:5" s="6" customFormat="1" ht="35.25" customHeight="1" x14ac:dyDescent="0.2">
      <c r="B147" s="220"/>
      <c r="C147" s="151"/>
      <c r="D147" s="223" t="s">
        <v>521</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526</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519</v>
      </c>
      <c r="E167" s="28"/>
    </row>
    <row r="168" spans="2:5" s="6" customFormat="1" ht="35.25" customHeight="1" x14ac:dyDescent="0.2">
      <c r="B168" s="220"/>
      <c r="C168" s="151"/>
      <c r="D168" s="223" t="s">
        <v>520</v>
      </c>
      <c r="E168" s="28"/>
    </row>
    <row r="169" spans="2:5" s="6" customFormat="1" ht="35.25" customHeight="1" x14ac:dyDescent="0.2">
      <c r="B169" s="220"/>
      <c r="C169" s="151"/>
      <c r="D169" s="223" t="s">
        <v>521</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519</v>
      </c>
      <c r="E178" s="28"/>
    </row>
    <row r="179" spans="2:5" s="6" customFormat="1" ht="35.25" customHeight="1" x14ac:dyDescent="0.2">
      <c r="B179" s="220"/>
      <c r="C179" s="151"/>
      <c r="D179" s="223" t="s">
        <v>520</v>
      </c>
      <c r="E179" s="28"/>
    </row>
    <row r="180" spans="2:5" s="6" customFormat="1" ht="35.25" customHeight="1" x14ac:dyDescent="0.2">
      <c r="B180" s="220"/>
      <c r="C180" s="151"/>
      <c r="D180" s="223" t="s">
        <v>521</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515</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518</v>
      </c>
      <c r="E200" s="28"/>
    </row>
    <row r="201" spans="2:5" s="6" customFormat="1" ht="35.25" customHeight="1" x14ac:dyDescent="0.2">
      <c r="B201" s="220"/>
      <c r="C201" s="151"/>
      <c r="D201" s="223" t="s">
        <v>519</v>
      </c>
      <c r="E201" s="28"/>
    </row>
    <row r="202" spans="2:5" s="6" customFormat="1" ht="35.25" customHeight="1" x14ac:dyDescent="0.2">
      <c r="B202" s="220"/>
      <c r="C202" s="151"/>
      <c r="D202" s="223" t="s">
        <v>520</v>
      </c>
      <c r="E202" s="28"/>
    </row>
    <row r="203" spans="2:5" s="6" customFormat="1" ht="35.25" customHeight="1" x14ac:dyDescent="0.2">
      <c r="B203" s="220"/>
      <c r="C203" s="151"/>
      <c r="D203" s="223" t="s">
        <v>521</v>
      </c>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