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C11" i="16"/>
  <c r="H4" i="16"/>
  <c r="G4" i="16"/>
  <c r="F4" i="16"/>
  <c r="E4" i="16"/>
  <c r="D4" i="16"/>
  <c r="C4" i="16"/>
  <c r="AB52" i="10"/>
  <c r="X52" i="10"/>
  <c r="G11" i="16" s="1"/>
  <c r="T52" i="10"/>
  <c r="F11" i="16" s="1"/>
  <c r="P52" i="10"/>
  <c r="F52" i="10"/>
  <c r="AB51" i="10"/>
  <c r="X51" i="10"/>
  <c r="T51" i="10"/>
  <c r="P51" i="10"/>
  <c r="K51" i="10"/>
  <c r="F51" i="10"/>
  <c r="AB50" i="10"/>
  <c r="P50" i="10"/>
  <c r="F50" i="10"/>
  <c r="AB47" i="10"/>
  <c r="X47" i="10"/>
  <c r="X50" i="10" s="1"/>
  <c r="P47" i="10"/>
  <c r="F47" i="10"/>
  <c r="AB46" i="10"/>
  <c r="X46" i="10"/>
  <c r="P46" i="10"/>
  <c r="F46" i="10"/>
  <c r="AB45" i="10"/>
  <c r="AA45" i="10"/>
  <c r="Z45" i="10"/>
  <c r="Y45" i="10"/>
  <c r="AB38" i="10" s="1"/>
  <c r="X45" i="10"/>
  <c r="W45" i="10"/>
  <c r="V45" i="10"/>
  <c r="U45" i="10"/>
  <c r="T45" i="10"/>
  <c r="T47" i="10" s="1"/>
  <c r="T50" i="10" s="1"/>
  <c r="S45" i="10"/>
  <c r="R45" i="10"/>
  <c r="Q45" i="10"/>
  <c r="P44" i="10"/>
  <c r="O44" i="10"/>
  <c r="N44" i="10"/>
  <c r="P38" i="10" s="1"/>
  <c r="M44" i="10"/>
  <c r="K44" i="10"/>
  <c r="J44" i="10"/>
  <c r="I44" i="10"/>
  <c r="H44" i="10"/>
  <c r="F44" i="10"/>
  <c r="E44" i="10"/>
  <c r="D44" i="10"/>
  <c r="C44" i="10"/>
  <c r="AB41" i="10"/>
  <c r="X41" i="10"/>
  <c r="T41" i="10"/>
  <c r="P41" i="10"/>
  <c r="F41" i="10"/>
  <c r="AB40" i="10"/>
  <c r="X40" i="10"/>
  <c r="T40" i="10"/>
  <c r="P40" i="10"/>
  <c r="K40" i="10"/>
  <c r="F40" i="10"/>
  <c r="X38" i="10"/>
  <c r="K38" i="10"/>
  <c r="F38" i="10"/>
  <c r="AB37" i="10"/>
  <c r="AA37" i="10"/>
  <c r="X37" i="10"/>
  <c r="W37" i="10"/>
  <c r="T37" i="10"/>
  <c r="S37" i="10"/>
  <c r="P37" i="10"/>
  <c r="O37" i="10"/>
  <c r="K37" i="10"/>
  <c r="J37" i="10"/>
  <c r="F37" i="10"/>
  <c r="E37" i="10"/>
  <c r="L29" i="10"/>
  <c r="G29" i="10"/>
  <c r="L28" i="10"/>
  <c r="L25" i="10"/>
  <c r="L24" i="10"/>
  <c r="L23" i="10" s="1"/>
  <c r="L27" i="10" s="1"/>
  <c r="L21" i="10"/>
  <c r="L20" i="10"/>
  <c r="G20" i="10"/>
  <c r="L19" i="10"/>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U13" i="10" s="1"/>
  <c r="T16" i="10"/>
  <c r="S16" i="10"/>
  <c r="P16" i="10"/>
  <c r="O16" i="10"/>
  <c r="L16" i="10"/>
  <c r="K16" i="10"/>
  <c r="I12" i="10" s="1"/>
  <c r="J16" i="10"/>
  <c r="G16" i="10"/>
  <c r="F16" i="10"/>
  <c r="E16" i="10"/>
  <c r="E12" i="10" s="1"/>
  <c r="AB15" i="10"/>
  <c r="AA15" i="10"/>
  <c r="X15" i="10"/>
  <c r="W15" i="10"/>
  <c r="T15" i="10"/>
  <c r="S15" i="10"/>
  <c r="P15" i="10"/>
  <c r="O15" i="10"/>
  <c r="L15" i="10"/>
  <c r="K15" i="10"/>
  <c r="J15" i="10"/>
  <c r="G15" i="10"/>
  <c r="F15" i="10"/>
  <c r="E15" i="10"/>
  <c r="C12" i="10" s="1"/>
  <c r="AB13" i="10"/>
  <c r="AA13" i="10"/>
  <c r="Z13" i="10"/>
  <c r="Y13" i="10"/>
  <c r="V13" i="10"/>
  <c r="S13" i="10"/>
  <c r="R13" i="10"/>
  <c r="Q13" i="10"/>
  <c r="P12" i="10"/>
  <c r="O12" i="10"/>
  <c r="N12" i="10"/>
  <c r="M12" i="10"/>
  <c r="J12" i="10"/>
  <c r="H12" i="10"/>
  <c r="D12" i="10"/>
  <c r="K11" i="10"/>
  <c r="J11" i="10"/>
  <c r="F11" i="10"/>
  <c r="E11" i="10"/>
  <c r="L10" i="10"/>
  <c r="K10" i="10"/>
  <c r="J10" i="10"/>
  <c r="G10" i="10"/>
  <c r="F10" i="10"/>
  <c r="E10" i="10"/>
  <c r="E7" i="10" s="1"/>
  <c r="F7" i="10" s="1"/>
  <c r="G9" i="10"/>
  <c r="F9" i="10"/>
  <c r="E9" i="10"/>
  <c r="F8" i="10"/>
  <c r="AB7" i="10"/>
  <c r="AA7" i="10"/>
  <c r="X7" i="10"/>
  <c r="W7" i="10"/>
  <c r="T7" i="10"/>
  <c r="S7" i="10"/>
  <c r="P7" i="10"/>
  <c r="O7" i="10"/>
  <c r="L7" i="10"/>
  <c r="J7" i="10"/>
  <c r="K7" i="10" s="1"/>
  <c r="G7" i="10"/>
  <c r="AB6" i="10"/>
  <c r="AA6" i="10"/>
  <c r="X6" i="10"/>
  <c r="W6" i="10"/>
  <c r="T6" i="10"/>
  <c r="S6" i="10"/>
  <c r="P6" i="10"/>
  <c r="O6" i="10"/>
  <c r="L6" i="10"/>
  <c r="K6" i="10"/>
  <c r="J6" i="10"/>
  <c r="G6" i="10"/>
  <c r="F6" i="10"/>
  <c r="E6" i="10"/>
  <c r="AU55" i="18"/>
  <c r="AT55" i="18"/>
  <c r="AS55" i="18"/>
  <c r="AS22" i="4" s="1"/>
  <c r="AC55" i="18"/>
  <c r="AB55" i="18"/>
  <c r="AA55" i="18"/>
  <c r="Z55" i="18"/>
  <c r="Y55" i="18"/>
  <c r="X55" i="18"/>
  <c r="X22" i="4" s="1"/>
  <c r="W55" i="18"/>
  <c r="W22" i="4" s="1"/>
  <c r="V55" i="18"/>
  <c r="U55" i="18"/>
  <c r="T55" i="18"/>
  <c r="S55" i="18"/>
  <c r="R55" i="18"/>
  <c r="Q55" i="18"/>
  <c r="P55" i="18"/>
  <c r="O55" i="18"/>
  <c r="N55" i="18"/>
  <c r="M55" i="18"/>
  <c r="L55" i="18"/>
  <c r="L22" i="4" s="1"/>
  <c r="K55" i="18"/>
  <c r="J55" i="18"/>
  <c r="I55" i="18"/>
  <c r="H55" i="18"/>
  <c r="G55" i="18"/>
  <c r="F55" i="18"/>
  <c r="E55" i="18"/>
  <c r="E22" i="4" s="1"/>
  <c r="D55" i="18"/>
  <c r="D22" i="4" s="1"/>
  <c r="AU54" i="18"/>
  <c r="AT54" i="18"/>
  <c r="AS54" i="18"/>
  <c r="AC54" i="18"/>
  <c r="AB54" i="18"/>
  <c r="AA54" i="18"/>
  <c r="Z54" i="18"/>
  <c r="Y54" i="18"/>
  <c r="X54" i="18"/>
  <c r="W54" i="18"/>
  <c r="V54" i="18"/>
  <c r="U54" i="18"/>
  <c r="T54" i="18"/>
  <c r="T12" i="4" s="1"/>
  <c r="S54" i="18"/>
  <c r="R54" i="18"/>
  <c r="Q54" i="18"/>
  <c r="P54" i="18"/>
  <c r="O54" i="18"/>
  <c r="N54" i="18"/>
  <c r="M54" i="18"/>
  <c r="L54" i="18"/>
  <c r="K54" i="18"/>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C22" i="4"/>
  <c r="AB22" i="4"/>
  <c r="AA22" i="4"/>
  <c r="Z22" i="4"/>
  <c r="Y22" i="4"/>
  <c r="V22" i="4"/>
  <c r="U22" i="4"/>
  <c r="T22" i="4"/>
  <c r="S22" i="4"/>
  <c r="R22" i="4"/>
  <c r="Q22" i="4"/>
  <c r="P22" i="4"/>
  <c r="O22" i="4"/>
  <c r="N22" i="4"/>
  <c r="M22" i="4"/>
  <c r="K22" i="4"/>
  <c r="J22" i="4"/>
  <c r="I22" i="4"/>
  <c r="H22" i="4"/>
  <c r="G22" i="4"/>
  <c r="F22" i="4"/>
  <c r="AU12" i="4"/>
  <c r="AT12" i="4"/>
  <c r="AS12" i="4"/>
  <c r="AC12" i="4"/>
  <c r="AB12" i="4"/>
  <c r="AA12" i="4"/>
  <c r="Z12" i="4"/>
  <c r="Y12" i="4"/>
  <c r="X12" i="4"/>
  <c r="W12" i="4"/>
  <c r="V12" i="4"/>
  <c r="U12" i="4"/>
  <c r="S12" i="4"/>
  <c r="R12" i="4"/>
  <c r="Q12" i="4"/>
  <c r="P12" i="4"/>
  <c r="O12" i="4"/>
  <c r="N12" i="4"/>
  <c r="M12" i="4"/>
  <c r="L12" i="4"/>
  <c r="K12" i="4"/>
  <c r="AU5" i="4"/>
  <c r="AT5" i="4"/>
  <c r="AS5" i="4"/>
  <c r="AC5" i="4"/>
  <c r="AB5" i="4"/>
  <c r="AA5" i="4"/>
  <c r="Z5" i="4"/>
  <c r="Y5" i="4"/>
  <c r="X5" i="4"/>
  <c r="W5" i="4"/>
  <c r="V5" i="4"/>
  <c r="U5" i="4"/>
  <c r="T5" i="4"/>
  <c r="S5" i="4"/>
  <c r="R5" i="4"/>
  <c r="Q5" i="4"/>
  <c r="P5" i="4"/>
  <c r="O5" i="4"/>
  <c r="N5" i="4"/>
  <c r="M5" i="4"/>
  <c r="L5" i="4"/>
  <c r="K5" i="4"/>
  <c r="J5" i="4"/>
  <c r="I5" i="4"/>
  <c r="H5" i="4"/>
  <c r="G5" i="4"/>
  <c r="F5" i="4"/>
  <c r="E5" i="4"/>
  <c r="D5" i="4"/>
  <c r="L26" i="10" l="1"/>
  <c r="L30" i="10" s="1"/>
  <c r="L31" i="10"/>
  <c r="L32" i="10" s="1"/>
  <c r="L33" i="10" s="1"/>
  <c r="G21" i="10"/>
  <c r="G28" i="10"/>
  <c r="G19" i="10"/>
  <c r="G24" i="10" s="1"/>
  <c r="G25" i="10"/>
  <c r="T46" i="10"/>
  <c r="T38" i="10"/>
  <c r="K41" i="10"/>
  <c r="K46" i="10" s="1"/>
  <c r="K47" i="10" s="1"/>
  <c r="K50" i="10" s="1"/>
  <c r="K52" i="10" s="1"/>
  <c r="D11" i="16" s="1"/>
  <c r="G23" i="10"/>
  <c r="G27" i="10" s="1"/>
  <c r="G31" i="10" s="1"/>
  <c r="G32" i="10" s="1"/>
  <c r="G33" i="10" s="1"/>
  <c r="T13" i="10"/>
  <c r="W13" i="10"/>
  <c r="X13" i="10"/>
  <c r="K12" i="10"/>
  <c r="F12" i="10"/>
  <c r="G26" i="10" l="1"/>
  <c r="G30" i="10" s="1"/>
</calcChain>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<sst xmlns="http://schemas.openxmlformats.org/spreadsheetml/2006/main" count="569" uniqueCount="507">
  <si>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</si>
  <si>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</si>
  <si>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</si>
  <si>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</si>
  <si>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</si>
  <si>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</si>
  <si>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</si>
  <si>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</si>
  <si>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</si>
  <si>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</si>
  <si>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</si>
  <si>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</si>
  <si>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</si>
  <si>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</si>
  <si>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</si>
  <si>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</si>
  <si>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</si>
  <si>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</si>
  <si>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</si>
  <si>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</si>
  <si>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</si>
  <si>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</si>
  <si>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</si>
  <si>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</si>
  <si>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</si>
  <si>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</si>
  <si>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</si>
  <si>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</si>
  <si>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</si>
  <si>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</si>
  <si>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</si>
  <si>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</si>
  <si>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</si>
  <si>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</si>
  <si>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</si>
  <si>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</si>
  <si>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</si>
  <si>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</si>
  <si>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</si>
  <si>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</si>
  <si>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</si>
  <si>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</si>
  <si>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</si>
  <si>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</si>
  <si>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</si>
  <si>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</si>
  <si>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</si>
  <si>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</si>
  <si>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</si>
  <si>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</si>
  <si>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</si>
  <si>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</si>
  <si>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</si>
  <si>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</si>
  <si>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</si>
  <si>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</si>
  <si>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</si>
  <si>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</si>
  <si>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</si>
  <si>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</si>
  <si>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</si>
  <si>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</si>
  <si>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</si>
  <si>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</si>
  <si>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</si>
  <si>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</si>
  <si>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</si>
  <si>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</si>
  <si>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</si>
  <si>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</si>
  <si>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</si>
  <si>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</si>
  <si>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</si>
  <si>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</si>
  <si>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</si>
  <si>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</si>
  <si>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</si>
  <si>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</si>
  <si>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</si>
  <si>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</si>
  <si>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</si>
  <si>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</si>
  <si>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</si>
  <si>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</si>
  <si>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</si>
  <si>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</si>
  <si>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</si>
  <si>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</si>
  <si>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</si>
  <si>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</si>
  <si>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</si>
  <si>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</si>
  <si>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</si>
  <si>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</si>
  <si>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</si>
  <si>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</si>
  <si>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</si>
  <si>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</si>
  <si>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</si>
  <si>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</si>
  <si>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</si>
  <si>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</si>
  <si>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</si>
  <si>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</si>
  <si>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</si>
  <si>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</si>
  <si>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</si>
  <si>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</si>
  <si>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</si>
  <si>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</si>
  <si>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</si>
  <si>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</si>
  <si>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</si>
  <si>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</si>
  <si>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</si>
  <si>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</si>
  <si>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</si>
  <si>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</si>
  <si>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</si>
  <si>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</si>
  <si>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</si>
  <si>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</si>
  <si>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</si>
  <si>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</si>
  <si>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</si>
  <si>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</si>
  <si>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</si>
  <si>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</si>
  <si>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</si>
  <si>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</si>
  <si>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</si>
  <si>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</si>
  <si>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</si>
  <si>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</si>
  <si>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</si>
  <si>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</si>
  <si>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</si>
  <si>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</si>
  <si>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</si>
  <si>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</si>
  <si>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</si>
  <si>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</si>
  <si>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</si>
  <si>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</si>
  <si>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</si>
  <si>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</si>
  <si>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</si>
  <si>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</si>
  <si>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</si>
  <si>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</si>
  <si>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</si>
  <si>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</si>
  <si>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</si>
  <si>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</si>
  <si>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</si>
  <si>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</si>
  <si>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</si>
  <si>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</si>
  <si>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</si>
  <si>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</si>
  <si>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</si>
  <si>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</si>
  <si>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</si>
  <si>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</si>
  <si>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</si>
  <si>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</si>
  <si>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</si>
  <si>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</si>
  <si>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</si>
  <si>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</si>
  <si>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</si>
  <si>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</si>
  <si>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</si>
  <si>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</si>
  <si>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</si>
  <si>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</si>
  <si>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</si>
  <si>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</si>
  <si>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</si>
  <si>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</si>
  <si>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</si>
  <si>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</si>
  <si>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</si>
  <si>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</si>
  <si>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</si>
  <si>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</si>
  <si>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</si>
  <si>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</si>
  <si>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</si>
  <si>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</si>
  <si>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</si>
  <si>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</si>
  <si>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</si>
  <si>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</si>
  <si>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</si>
  <si>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</si>
  <si>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</si>
  <si>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</si>
  <si>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</si>
  <si>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</si>
  <si>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</si>
  <si>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</si>
  <si>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</si>
  <si>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</si>
  <si>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</si>
  <si>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</si>
  <si>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</si>
  <si>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</si>
  <si>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</si>
  <si>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</si>
  <si>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</si>
  <si>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</si>
  <si>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</si>
  <si>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</si>
  <si>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</si>
  <si>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</si>
  <si>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</si>
  <si>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</si>
  <si>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</si>
  <si>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</si>
  <si>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</si>
  <si>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</si>
  <si>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</si>
  <si>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</si>
  <si>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</si>
  <si>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</si>
  <si>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</si>
  <si>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</si>
  <si>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</si>
  <si>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</si>
  <si>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</si>
  <si>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</si>
  <si>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</si>
  <si>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</si>
  <si>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</si>
  <si>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</si>
  <si>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</si>
  <si>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</si>
  <si>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</si>
  <si>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</si>
  <si>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</si>
  <si>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</si>
  <si>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</si>
  <si>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</si>
  <si>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</si>
  <si>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</si>
  <si>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</si>
  <si>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</si>
  <si>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</si>
  <si>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</si>
  <si>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</si>
  <si>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</si>
  <si>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</si>
  <si>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</si>
  <si>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</si>
  <si>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</si>
  <si>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</si>
  <si>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</si>
  <si>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</si>
  <si>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</si>
  <si>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</si>
  <si>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</si>
  <si>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</si>
  <si>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</si>
  <si>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</si>
  <si>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</si>
  <si>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</si>
  <si>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</si>
  <si>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</si>
  <si>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</si>
  <si>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</si>
  <si>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</si>
  <si>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</si>
  <si>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</si>
  <si>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</si>
  <si>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</si>
  <si>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</si>
  <si>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</si>
  <si>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</si>
  <si>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</si>
  <si>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</si>
  <si>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</si>
  <si>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</si>
  <si>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</si>
  <si>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</si>
  <si>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</si>
  <si>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</si>
  <si>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</si>
  <si>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</si>
  <si>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</si>
  <si>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</si>
  <si>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</si>
  <si>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</si>
  <si>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</si>
  <si>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</si>
  <si>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</si>
  <si>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</si>
  <si>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</si>
  <si>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</si>
  <si>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</si>
  <si>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</si>
  <si>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</si>
  <si>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</si>
  <si>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</si>
  <si>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</si>
  <si>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</si>
  <si>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</si>
  <si>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</si>
  <si>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</si>
  <si>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</si>
  <si>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</si>
  <si>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</si>
  <si>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</si>
  <si>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</si>
  <si>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</si>
  <si>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</si>
  <si>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</si>
  <si>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</si>
  <si>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</si>
  <si>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</si>
  <si>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</si>
  <si>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</si>
  <si>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</si>
  <si>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</si>
  <si>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</si>
  <si>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</si>
  <si>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</si>
  <si>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</si>
  <si>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</si>
  <si>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</si>
  <si>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</si>
  <si>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</si>
  <si>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</si>
  <si>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</si>
  <si>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</si>
  <si>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</si>
  <si>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</si>
  <si>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</si>
  <si>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</si>
  <si>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</si>
  <si>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</si>
  <si>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</si>
  <si>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</si>
  <si>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</si>
  <si>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</si>
  <si>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</si>
  <si>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</si>
  <si>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</si>
  <si>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</si>
  <si>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</si>
  <si>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</si>
  <si>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</si>
  <si>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</si>
  <si>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</si>
  <si>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</si>
  <si>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</si>
  <si>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</si>
  <si>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</si>
  <si>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</si>
  <si>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</si>
  <si>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</si>
  <si>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</si>
  <si>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</si>
  <si>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</si>
  <si>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</si>
  <si>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</si>
  <si>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</si>
  <si>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</si>
  <si>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</si>
  <si>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</si>
  <si>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</si>
  <si>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</si>
  <si>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</si>
  <si>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</si>
  <si>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</si>
  <si>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</si>
  <si>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</si>
  <si>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</si>
  <si>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</si>
  <si>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</si>
  <si>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</si>
  <si>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</si>
  <si>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</si>
  <si>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</si>
  <si>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</si>
  <si>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</si>
  <si>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</si>
  <si>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</si>
  <si>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</si>
  <si>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</si>
  <si>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</si>
  <si>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</si>
  <si>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</si>
  <si>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</si>
  <si>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</si>
  <si>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</si>
  <si>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</si>
  <si>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</si>
  <si>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</si>
  <si>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</si>
  <si>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</si>
  <si>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</si>
  <si>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</si>
  <si>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</si>
  <si>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</si>
  <si>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</si>
  <si>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</si>
  <si>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</si>
  <si>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</si>
  <si>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</si>
  <si>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</si>
  <si>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</si>
  <si>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</si>
  <si>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</si>
  <si>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</si>
  <si>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</si>
  <si>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</si>
  <si>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</si>
  <si>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</si>
  <si>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</si>
  <si>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</si>
  <si>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</si>
  <si>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</si>
  <si>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</si>
  <si>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</si>
  <si>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</si>
  <si>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</si>
  <si>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</si>
  <si>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</si>
  <si>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</si>
  <si>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</si>
  <si>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</si>
  <si>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</si>
  <si>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</si>
  <si>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</si>
  <si>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</si>
  <si>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</si>
  <si>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</si>
  <si>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</si>
  <si>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</si>
  <si>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</si>
  <si>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</si>
  <si>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</si>
  <si>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</si>
  <si>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</si>
  <si>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</si>
  <si>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</si>
  <si>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</si>
  <si>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</si>
  <si>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</si>
  <si>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</si>
  <si>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</si>
  <si>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</si>
  <si>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</si>
  <si>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</si>
  <si>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</si>
  <si>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</si>
  <si>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</si>
  <si>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</si>
  <si>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</si>
  <si>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</si>
  <si>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</si>
  <si>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</si>
  <si>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</si>
  <si>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</si>
  <si>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</si>
  <si>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</si>
  <si>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</si>
  <si>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</si>
  <si>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</si>
  <si>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</si>
  <si>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</si>
  <si>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</si>
  <si>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</si>
  <si>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</si>
  <si>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</si>
  <si>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</si>
  <si>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</si>
  <si>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</si>
  <si>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</si>
  <si>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</si>
  <si>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</si>
  <si>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</si>
  <si>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</si>
  <si>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</si>
  <si>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</si>
  <si>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</si>
  <si>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</si>
  <si>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</si>
  <si>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</si>
  <si>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</si>
  <si>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</si>
  <si>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</si>
  <si>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</si>
  <si>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Wisconsin Health Organization Insurance Corporation</t>
  </si>
  <si>
    <t>HUMANA GRP</t>
  </si>
  <si>
    <t>Humana</t>
  </si>
  <si>
    <t>119</t>
  </si>
  <si>
    <t>2014</t>
  </si>
  <si>
    <t>N19W24133 Riverwood Drive, Two Riverwood Place, Suite 300 Waukesha, WI 53188-1145</t>
  </si>
  <si>
    <t>391525003</t>
  </si>
  <si>
    <t>095342</t>
  </si>
  <si>
    <t>95342</t>
  </si>
  <si>
    <t>55103</t>
  </si>
  <si>
    <t>221</t>
  </si>
  <si>
    <t>Humana Insurance Company</t>
  </si>
  <si>
    <t>Humana Employers Health Plan of Georgia,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</si>
</sst>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192</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37122</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51069681</v>
      </c>
      <c r="K5" s="112">
        <f>SUM('Pt 2 Premium and Claims'!K$5,'Pt 2 Premium and Claims'!K$6,-'Pt 2 Premium and Claims'!K$7,-'Pt 2 Premium and Claims'!K$13,'Pt 2 Premium and Claims'!K$14,'Pt 2 Premium and Claims'!K$16:'Pt 2 Premium and Claims'!K$17)</f>
        <v>57401037.398539402</v>
      </c>
      <c r="L5" s="112">
        <f>SUM('Pt 2 Premium and Claims'!L$5,'Pt 2 Premium and Claims'!L$6,-'Pt 2 Premium and Claims'!L$7,-'Pt 2 Premium and Claims'!L$13,'Pt 2 Premium and Claims'!L$14,'Pt 2 Premium and Claims'!L$16:'Pt 2 Premium and Claims'!L$17)</f>
        <v>5888372.0000000009</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153642877</v>
      </c>
      <c r="Q5" s="112">
        <f>SUM('Pt 2 Premium and Claims'!Q$5,'Pt 2 Premium and Claims'!Q$6,-'Pt 2 Premium and Claims'!Q$7,-'Pt 2 Premium and Claims'!Q$13,'Pt 2 Premium and Claims'!Q$14)</f>
        <v>160007764.76028681</v>
      </c>
      <c r="R5" s="112">
        <f>SUM('Pt 2 Premium and Claims'!R$5,'Pt 2 Premium and Claims'!R$6,-'Pt 2 Premium and Claims'!R$7,-'Pt 2 Premium and Claims'!R$13,'Pt 2 Premium and Claims'!R$14)</f>
        <v>6691362.6199999992</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82972863</v>
      </c>
      <c r="AT5" s="113">
        <f>SUM('Pt 2 Premium and Claims'!AT$5,'Pt 2 Premium and Claims'!AT$6,-'Pt 2 Premium and Claims'!AT$7,-'Pt 2 Premium and Claims'!AT$13,'Pt 2 Premium and Claims'!AT$14)</f>
        <v>219458</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v>-1.3308861350856815</v>
      </c>
      <c r="F7" s="116"/>
      <c r="G7" s="116"/>
      <c r="H7" s="116"/>
      <c r="I7" s="115"/>
      <c r="J7" s="115"/>
      <c r="K7" s="116">
        <v>-13256.594413923529</v>
      </c>
      <c r="L7" s="116">
        <v>-13256.594413923529</v>
      </c>
      <c r="M7" s="116"/>
      <c r="N7" s="116"/>
      <c r="O7" s="115"/>
      <c r="P7" s="115"/>
      <c r="Q7" s="116">
        <v>-14746.550172112618</v>
      </c>
      <c r="R7" s="116">
        <v>-14747.881058247704</v>
      </c>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v>-111623</v>
      </c>
      <c r="K8" s="295"/>
      <c r="L8" s="296"/>
      <c r="M8" s="296"/>
      <c r="N8" s="296"/>
      <c r="O8" s="299"/>
      <c r="P8" s="115">
        <v>-240342</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-11358</v>
      </c>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37014</v>
      </c>
      <c r="E12" s="112">
        <f>'Pt 2 Premium and Claims'!E$54</f>
        <v>-266.35000000000002</v>
      </c>
      <c r="F12" s="112">
        <f>'Pt 2 Premium and Claims'!F$54</f>
        <v>0</v>
      </c>
      <c r="G12" s="112">
        <f>'Pt 2 Premium and Claims'!G$54</f>
        <v>0</v>
      </c>
      <c r="H12" s="112">
        <f>'Pt 2 Premium and Claims'!H$54</f>
        <v>0</v>
      </c>
      <c r="I12" s="111">
        <f>'Pt 2 Premium and Claims'!I$54</f>
        <v>0</v>
      </c>
      <c r="J12" s="111">
        <f>'Pt 2 Premium and Claims'!J$54</f>
        <v>43585688</v>
      </c>
      <c r="K12" s="112">
        <f>'Pt 2 Premium and Claims'!K$54</f>
        <v>47405788.874712884</v>
      </c>
      <c r="L12" s="112">
        <f>'Pt 2 Premium and Claims'!L$54</f>
        <v>4955130.4864999996</v>
      </c>
      <c r="M12" s="112">
        <f>'Pt 2 Premium and Claims'!M$54</f>
        <v>0</v>
      </c>
      <c r="N12" s="112">
        <f>'Pt 2 Premium and Claims'!N$54</f>
        <v>0</v>
      </c>
      <c r="O12" s="111">
        <f>'Pt 2 Premium and Claims'!O$54</f>
        <v>0</v>
      </c>
      <c r="P12" s="111">
        <f>'Pt 2 Premium and Claims'!P$54</f>
        <v>127256524</v>
      </c>
      <c r="Q12" s="112">
        <f>'Pt 2 Premium and Claims'!Q$54</f>
        <v>139881250.30768716</v>
      </c>
      <c r="R12" s="112">
        <f>'Pt 2 Premium and Claims'!R$54</f>
        <v>6173048.1836999999</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75316800</v>
      </c>
      <c r="AT12" s="113">
        <f>'Pt 2 Premium and Claims'!AT$54</f>
        <v>148248</v>
      </c>
      <c r="AU12" s="113">
        <f>'Pt 2 Premium and Claims'!AU$54</f>
        <v>0</v>
      </c>
      <c r="AV12" s="318"/>
      <c r="AW12" s="323"/>
    </row>
    <row r="13" spans="1:49" ht="25.5" x14ac:dyDescent="0.2">
      <c r="B13" s="161" t="s">
        <v>230</v>
      </c>
      <c r="C13" s="68" t="s">
        <v>37</v>
      </c>
      <c r="D13" s="115">
        <v>12632</v>
      </c>
      <c r="E13" s="116">
        <v>-266.35000000000002</v>
      </c>
      <c r="F13" s="116"/>
      <c r="G13" s="295"/>
      <c r="H13" s="296"/>
      <c r="I13" s="115"/>
      <c r="J13" s="115">
        <v>6240053</v>
      </c>
      <c r="K13" s="116">
        <v>6089364.4524077466</v>
      </c>
      <c r="L13" s="116"/>
      <c r="M13" s="295"/>
      <c r="N13" s="296"/>
      <c r="O13" s="115"/>
      <c r="P13" s="115">
        <v>11825007</v>
      </c>
      <c r="Q13" s="116">
        <v>12023927.187592249</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9508306</v>
      </c>
      <c r="AT13" s="119"/>
      <c r="AU13" s="119"/>
      <c r="AV13" s="317"/>
      <c r="AW13" s="324"/>
    </row>
    <row r="14" spans="1:49" ht="25.5" x14ac:dyDescent="0.2">
      <c r="B14" s="161" t="s">
        <v>231</v>
      </c>
      <c r="C14" s="68" t="s">
        <v>6</v>
      </c>
      <c r="D14" s="115">
        <v>384</v>
      </c>
      <c r="E14" s="116"/>
      <c r="F14" s="116"/>
      <c r="G14" s="294"/>
      <c r="H14" s="297"/>
      <c r="I14" s="115"/>
      <c r="J14" s="115">
        <v>603527</v>
      </c>
      <c r="K14" s="116">
        <v>589269.87686707964</v>
      </c>
      <c r="L14" s="116"/>
      <c r="M14" s="294"/>
      <c r="N14" s="297"/>
      <c r="O14" s="115"/>
      <c r="P14" s="115">
        <v>1122020</v>
      </c>
      <c r="Q14" s="116">
        <v>1112076.3131329198</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2213412</v>
      </c>
      <c r="AT14" s="119"/>
      <c r="AU14" s="119"/>
      <c r="AV14" s="317"/>
      <c r="AW14" s="324"/>
    </row>
    <row r="15" spans="1:49" ht="38.25" x14ac:dyDescent="0.2">
      <c r="B15" s="161" t="s">
        <v>232</v>
      </c>
      <c r="C15" s="68" t="s">
        <v>7</v>
      </c>
      <c r="D15" s="115">
        <v>2005.9999999999998</v>
      </c>
      <c r="E15" s="116">
        <v>2005.9999999999998</v>
      </c>
      <c r="F15" s="116"/>
      <c r="G15" s="294"/>
      <c r="H15" s="300"/>
      <c r="I15" s="115"/>
      <c r="J15" s="115">
        <v>1418048</v>
      </c>
      <c r="K15" s="116">
        <v>1418048</v>
      </c>
      <c r="L15" s="116"/>
      <c r="M15" s="294"/>
      <c r="N15" s="300"/>
      <c r="O15" s="115"/>
      <c r="P15" s="115">
        <v>3611452</v>
      </c>
      <c r="Q15" s="116">
        <v>3611452</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1036619.9999999999</v>
      </c>
      <c r="AT15" s="119">
        <v>2721</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v>3900025</v>
      </c>
      <c r="K17" s="294"/>
      <c r="L17" s="297"/>
      <c r="M17" s="297"/>
      <c r="N17" s="297"/>
      <c r="O17" s="298"/>
      <c r="P17" s="115">
        <v>-1905000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v>107000</v>
      </c>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v>25</v>
      </c>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47921</v>
      </c>
      <c r="K22" s="121">
        <f>'Pt 2 Premium and Claims'!K$55</f>
        <v>52212.65</v>
      </c>
      <c r="L22" s="121">
        <f>'Pt 2 Premium and Claims'!L$55</f>
        <v>0</v>
      </c>
      <c r="M22" s="121">
        <f>'Pt 2 Premium and Claims'!M$55</f>
        <v>0</v>
      </c>
      <c r="N22" s="121">
        <f>'Pt 2 Premium and Claims'!N$55</f>
        <v>0</v>
      </c>
      <c r="O22" s="120">
        <f>'Pt 2 Premium and Claims'!O$55</f>
        <v>0</v>
      </c>
      <c r="P22" s="120">
        <f>'Pt 2 Premium and Claims'!P$55</f>
        <v>241144</v>
      </c>
      <c r="Q22" s="121">
        <f>'Pt 2 Premium and Claims'!Q$55</f>
        <v>241320.95999999999</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-2689.5411220000001</v>
      </c>
      <c r="E25" s="116">
        <v>-2525.0403942249213</v>
      </c>
      <c r="F25" s="116"/>
      <c r="G25" s="116"/>
      <c r="H25" s="116"/>
      <c r="I25" s="115"/>
      <c r="J25" s="115">
        <v>-191082.59390000001</v>
      </c>
      <c r="K25" s="116">
        <v>-76937.49533978352</v>
      </c>
      <c r="L25" s="116">
        <v>114145.09856021649</v>
      </c>
      <c r="M25" s="116"/>
      <c r="N25" s="116"/>
      <c r="O25" s="115"/>
      <c r="P25" s="115">
        <v>1767024.4509999999</v>
      </c>
      <c r="Q25" s="116">
        <v>1822709.2910719498</v>
      </c>
      <c r="R25" s="116">
        <v>55849.340799725054</v>
      </c>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-764747.40370000002</v>
      </c>
      <c r="AT25" s="119">
        <v>12001.59224</v>
      </c>
      <c r="AU25" s="119"/>
      <c r="AV25" s="119"/>
      <c r="AW25" s="324"/>
    </row>
    <row r="26" spans="1:49" s="11" customFormat="1" x14ac:dyDescent="0.2">
      <c r="A26" s="41"/>
      <c r="B26" s="164" t="s">
        <v>243</v>
      </c>
      <c r="C26" s="68"/>
      <c r="D26" s="115"/>
      <c r="E26" s="116">
        <v>54.360591784061974</v>
      </c>
      <c r="F26" s="116"/>
      <c r="G26" s="116"/>
      <c r="H26" s="116"/>
      <c r="I26" s="115"/>
      <c r="J26" s="115"/>
      <c r="K26" s="116">
        <v>27184.514274958943</v>
      </c>
      <c r="L26" s="116">
        <v>2785.9942749589432</v>
      </c>
      <c r="M26" s="116"/>
      <c r="N26" s="116"/>
      <c r="O26" s="115"/>
      <c r="P26" s="115"/>
      <c r="Q26" s="116">
        <v>58580.675042824849</v>
      </c>
      <c r="R26" s="116">
        <v>2734.69563460891</v>
      </c>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1382.88</v>
      </c>
      <c r="E27" s="116">
        <v>1560.2322092779516</v>
      </c>
      <c r="F27" s="116"/>
      <c r="G27" s="116"/>
      <c r="H27" s="116"/>
      <c r="I27" s="115"/>
      <c r="J27" s="115">
        <v>651204.63</v>
      </c>
      <c r="K27" s="116">
        <v>730441.49822947267</v>
      </c>
      <c r="L27" s="116">
        <v>79236.86822947266</v>
      </c>
      <c r="M27" s="116"/>
      <c r="N27" s="116"/>
      <c r="O27" s="115"/>
      <c r="P27" s="115">
        <v>1888663.0599999998</v>
      </c>
      <c r="Q27" s="116">
        <v>1965107.2856741312</v>
      </c>
      <c r="R27" s="116">
        <v>76621.577883409438</v>
      </c>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1029971.96</v>
      </c>
      <c r="AT27" s="119">
        <v>2706.66</v>
      </c>
      <c r="AU27" s="119"/>
      <c r="AV27" s="320"/>
      <c r="AW27" s="324"/>
    </row>
    <row r="28" spans="1:49" s="11" customFormat="1" x14ac:dyDescent="0.2">
      <c r="A28" s="41"/>
      <c r="B28" s="164" t="s">
        <v>245</v>
      </c>
      <c r="C28" s="68"/>
      <c r="D28" s="115">
        <v>622.71</v>
      </c>
      <c r="E28" s="116">
        <v>236.81</v>
      </c>
      <c r="F28" s="116"/>
      <c r="G28" s="116"/>
      <c r="H28" s="116"/>
      <c r="I28" s="115"/>
      <c r="J28" s="115">
        <v>766843.7</v>
      </c>
      <c r="K28" s="116">
        <v>112839.23451292457</v>
      </c>
      <c r="L28" s="116">
        <v>11600.184512924572</v>
      </c>
      <c r="M28" s="116"/>
      <c r="N28" s="116"/>
      <c r="O28" s="115"/>
      <c r="P28" s="115">
        <v>1722789.06</v>
      </c>
      <c r="Q28" s="116">
        <v>269765.3458296606</v>
      </c>
      <c r="R28" s="116">
        <v>11551.835829660569</v>
      </c>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6647.89</v>
      </c>
      <c r="AT28" s="119">
        <v>14.17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-165.05883679999999</v>
      </c>
      <c r="E30" s="116">
        <v>-125.37586966858413</v>
      </c>
      <c r="F30" s="116"/>
      <c r="G30" s="116"/>
      <c r="H30" s="116"/>
      <c r="I30" s="115"/>
      <c r="J30" s="115">
        <v>-7906.9569600000013</v>
      </c>
      <c r="K30" s="116">
        <v>13884.938477240114</v>
      </c>
      <c r="L30" s="116">
        <v>10496.025437240114</v>
      </c>
      <c r="M30" s="116"/>
      <c r="N30" s="116"/>
      <c r="O30" s="115"/>
      <c r="P30" s="115">
        <v>126605.22010000001</v>
      </c>
      <c r="Q30" s="116">
        <v>161551.64705621265</v>
      </c>
      <c r="R30" s="116">
        <v>6523.2899233440294</v>
      </c>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-41962.248659999997</v>
      </c>
      <c r="AT30" s="119">
        <v>800.98749090000001</v>
      </c>
      <c r="AU30" s="119"/>
      <c r="AV30" s="119"/>
      <c r="AW30" s="324"/>
    </row>
    <row r="31" spans="1:49" x14ac:dyDescent="0.2">
      <c r="B31" s="164" t="s">
        <v>248</v>
      </c>
      <c r="C31" s="68"/>
      <c r="D31" s="115"/>
      <c r="E31" s="116">
        <v>4.8081610661431684E-2</v>
      </c>
      <c r="F31" s="116"/>
      <c r="G31" s="116"/>
      <c r="H31" s="116"/>
      <c r="I31" s="115"/>
      <c r="J31" s="115"/>
      <c r="K31" s="116">
        <v>542.13300883689203</v>
      </c>
      <c r="L31" s="116">
        <v>542.13300883689203</v>
      </c>
      <c r="M31" s="116"/>
      <c r="N31" s="116"/>
      <c r="O31" s="115"/>
      <c r="P31" s="115"/>
      <c r="Q31" s="116">
        <v>532.77004107677988</v>
      </c>
      <c r="R31" s="116">
        <v>532.81812268744136</v>
      </c>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1035.7466443051021</v>
      </c>
      <c r="F34" s="116"/>
      <c r="G34" s="116"/>
      <c r="H34" s="116"/>
      <c r="I34" s="115"/>
      <c r="J34" s="115"/>
      <c r="K34" s="116">
        <v>817695.49371206458</v>
      </c>
      <c r="L34" s="116">
        <v>80839.26371206464</v>
      </c>
      <c r="M34" s="116"/>
      <c r="N34" s="116"/>
      <c r="O34" s="115"/>
      <c r="P34" s="115"/>
      <c r="Q34" s="116">
        <v>1737533.8049761537</v>
      </c>
      <c r="R34" s="116">
        <v>80823.421620458641</v>
      </c>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116.78</v>
      </c>
      <c r="E35" s="116">
        <v>116.76</v>
      </c>
      <c r="F35" s="116"/>
      <c r="G35" s="116"/>
      <c r="H35" s="116"/>
      <c r="I35" s="115"/>
      <c r="J35" s="115">
        <v>37956.879999999997</v>
      </c>
      <c r="K35" s="116">
        <v>43019.560052370827</v>
      </c>
      <c r="L35" s="116">
        <v>3439.8200523708324</v>
      </c>
      <c r="M35" s="116"/>
      <c r="N35" s="116"/>
      <c r="O35" s="115"/>
      <c r="P35" s="115">
        <v>100717.93999999999</v>
      </c>
      <c r="Q35" s="116">
        <v>103995.57913002346</v>
      </c>
      <c r="R35" s="116">
        <v>3277.5991300234709</v>
      </c>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65976.06</v>
      </c>
      <c r="AT35" s="119">
        <v>161.29000000000002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319</v>
      </c>
      <c r="E37" s="124">
        <v>341.78999999999996</v>
      </c>
      <c r="F37" s="124">
        <v>22.900000000000002</v>
      </c>
      <c r="G37" s="124"/>
      <c r="H37" s="124"/>
      <c r="I37" s="123"/>
      <c r="J37" s="123">
        <v>200369</v>
      </c>
      <c r="K37" s="124">
        <v>214075.88</v>
      </c>
      <c r="L37" s="124">
        <v>13707.59</v>
      </c>
      <c r="M37" s="124"/>
      <c r="N37" s="124"/>
      <c r="O37" s="123"/>
      <c r="P37" s="123">
        <v>444475</v>
      </c>
      <c r="Q37" s="124">
        <v>461598.13</v>
      </c>
      <c r="R37" s="124">
        <v>17124.89</v>
      </c>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688388</v>
      </c>
      <c r="AT37" s="125"/>
      <c r="AU37" s="125"/>
      <c r="AV37" s="125"/>
      <c r="AW37" s="323"/>
    </row>
    <row r="38" spans="1:49" x14ac:dyDescent="0.2">
      <c r="B38" s="161" t="s">
        <v>255</v>
      </c>
      <c r="C38" s="68" t="s">
        <v>16</v>
      </c>
      <c r="D38" s="115">
        <v>158</v>
      </c>
      <c r="E38" s="116">
        <v>175.03</v>
      </c>
      <c r="F38" s="116">
        <v>17.100000000000001</v>
      </c>
      <c r="G38" s="116"/>
      <c r="H38" s="116"/>
      <c r="I38" s="115"/>
      <c r="J38" s="115">
        <v>77150</v>
      </c>
      <c r="K38" s="116">
        <v>85621.54</v>
      </c>
      <c r="L38" s="116">
        <v>8471.64</v>
      </c>
      <c r="M38" s="116"/>
      <c r="N38" s="116"/>
      <c r="O38" s="115"/>
      <c r="P38" s="115">
        <v>174395</v>
      </c>
      <c r="Q38" s="116">
        <v>183334.31999999998</v>
      </c>
      <c r="R38" s="116">
        <v>8940.56</v>
      </c>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294164</v>
      </c>
      <c r="AT38" s="119"/>
      <c r="AU38" s="119"/>
      <c r="AV38" s="119"/>
      <c r="AW38" s="324"/>
    </row>
    <row r="39" spans="1:49" x14ac:dyDescent="0.2">
      <c r="B39" s="164" t="s">
        <v>256</v>
      </c>
      <c r="C39" s="68" t="s">
        <v>17</v>
      </c>
      <c r="D39" s="115">
        <v>679</v>
      </c>
      <c r="E39" s="116">
        <v>681.58999999999992</v>
      </c>
      <c r="F39" s="116">
        <v>3.04</v>
      </c>
      <c r="G39" s="116"/>
      <c r="H39" s="116"/>
      <c r="I39" s="115"/>
      <c r="J39" s="115">
        <v>67878</v>
      </c>
      <c r="K39" s="116">
        <v>69743.399999999994</v>
      </c>
      <c r="L39" s="116">
        <v>1865.5800000000002</v>
      </c>
      <c r="M39" s="116"/>
      <c r="N39" s="116"/>
      <c r="O39" s="115"/>
      <c r="P39" s="115">
        <v>170784</v>
      </c>
      <c r="Q39" s="116">
        <v>172774.84</v>
      </c>
      <c r="R39" s="116">
        <v>1990.8400000000001</v>
      </c>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187417</v>
      </c>
      <c r="AT39" s="119"/>
      <c r="AU39" s="119"/>
      <c r="AV39" s="119"/>
      <c r="AW39" s="324"/>
    </row>
    <row r="40" spans="1:49" x14ac:dyDescent="0.2">
      <c r="B40" s="164" t="s">
        <v>257</v>
      </c>
      <c r="C40" s="68" t="s">
        <v>38</v>
      </c>
      <c r="D40" s="115">
        <v>945</v>
      </c>
      <c r="E40" s="116">
        <v>960.09000000000026</v>
      </c>
      <c r="F40" s="116">
        <v>14.88</v>
      </c>
      <c r="G40" s="116"/>
      <c r="H40" s="116"/>
      <c r="I40" s="115"/>
      <c r="J40" s="115">
        <v>661437</v>
      </c>
      <c r="K40" s="116">
        <v>667408.9</v>
      </c>
      <c r="L40" s="116">
        <v>5971.81</v>
      </c>
      <c r="M40" s="116"/>
      <c r="N40" s="116"/>
      <c r="O40" s="115"/>
      <c r="P40" s="115">
        <v>1446307</v>
      </c>
      <c r="Q40" s="116">
        <v>1452688.2099999997</v>
      </c>
      <c r="R40" s="116">
        <v>6382.36</v>
      </c>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655469</v>
      </c>
      <c r="AT40" s="119">
        <v>5</v>
      </c>
      <c r="AU40" s="119"/>
      <c r="AV40" s="119"/>
      <c r="AW40" s="324"/>
    </row>
    <row r="41" spans="1:49" s="11" customFormat="1" ht="25.5" x14ac:dyDescent="0.2">
      <c r="A41" s="41"/>
      <c r="B41" s="164" t="s">
        <v>258</v>
      </c>
      <c r="C41" s="68" t="s">
        <v>129</v>
      </c>
      <c r="D41" s="115">
        <v>98</v>
      </c>
      <c r="E41" s="116">
        <v>105.78999999999999</v>
      </c>
      <c r="F41" s="116">
        <v>8.0800000000000018</v>
      </c>
      <c r="G41" s="116"/>
      <c r="H41" s="116"/>
      <c r="I41" s="115"/>
      <c r="J41" s="115">
        <v>50930</v>
      </c>
      <c r="K41" s="116">
        <v>56395.979999999996</v>
      </c>
      <c r="L41" s="116">
        <v>5465.57</v>
      </c>
      <c r="M41" s="116"/>
      <c r="N41" s="116"/>
      <c r="O41" s="115"/>
      <c r="P41" s="115">
        <v>118784</v>
      </c>
      <c r="Q41" s="116">
        <v>124785.89</v>
      </c>
      <c r="R41" s="116">
        <v>6002.07</v>
      </c>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55784</v>
      </c>
      <c r="AT41" s="119">
        <v>147</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1679</v>
      </c>
      <c r="E44" s="124">
        <v>1865.7732098806725</v>
      </c>
      <c r="F44" s="124"/>
      <c r="G44" s="124"/>
      <c r="H44" s="124"/>
      <c r="I44" s="123"/>
      <c r="J44" s="123">
        <v>693775</v>
      </c>
      <c r="K44" s="124">
        <v>783384.32420685049</v>
      </c>
      <c r="L44" s="124">
        <v>89609.324206850433</v>
      </c>
      <c r="M44" s="124"/>
      <c r="N44" s="124"/>
      <c r="O44" s="123"/>
      <c r="P44" s="123">
        <v>1972819</v>
      </c>
      <c r="Q44" s="124">
        <v>2069493.9825254714</v>
      </c>
      <c r="R44" s="124">
        <v>96861.755735351995</v>
      </c>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855959</v>
      </c>
      <c r="AT44" s="125">
        <v>556</v>
      </c>
      <c r="AU44" s="125"/>
      <c r="AV44" s="125"/>
      <c r="AW44" s="323"/>
    </row>
    <row r="45" spans="1:49" x14ac:dyDescent="0.2">
      <c r="B45" s="167" t="s">
        <v>262</v>
      </c>
      <c r="C45" s="68" t="s">
        <v>19</v>
      </c>
      <c r="D45" s="115">
        <v>504</v>
      </c>
      <c r="E45" s="116">
        <v>586.17387225013601</v>
      </c>
      <c r="F45" s="116"/>
      <c r="G45" s="116"/>
      <c r="H45" s="116"/>
      <c r="I45" s="115"/>
      <c r="J45" s="115">
        <v>247724</v>
      </c>
      <c r="K45" s="116">
        <v>295319.79407831188</v>
      </c>
      <c r="L45" s="116">
        <v>47595.794078311912</v>
      </c>
      <c r="M45" s="116"/>
      <c r="N45" s="116"/>
      <c r="O45" s="115"/>
      <c r="P45" s="115">
        <v>860462</v>
      </c>
      <c r="Q45" s="116">
        <v>910507.10244323476</v>
      </c>
      <c r="R45" s="116">
        <v>50127.276315484873</v>
      </c>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425250</v>
      </c>
      <c r="AT45" s="119">
        <v>720</v>
      </c>
      <c r="AU45" s="119"/>
      <c r="AV45" s="119"/>
      <c r="AW45" s="324"/>
    </row>
    <row r="46" spans="1:49" x14ac:dyDescent="0.2">
      <c r="B46" s="167" t="s">
        <v>263</v>
      </c>
      <c r="C46" s="68" t="s">
        <v>20</v>
      </c>
      <c r="D46" s="115">
        <v>462</v>
      </c>
      <c r="E46" s="116">
        <v>519.88775941689914</v>
      </c>
      <c r="F46" s="116"/>
      <c r="G46" s="116"/>
      <c r="H46" s="116"/>
      <c r="I46" s="115"/>
      <c r="J46" s="115">
        <v>255654</v>
      </c>
      <c r="K46" s="116">
        <v>283958.74814250687</v>
      </c>
      <c r="L46" s="116">
        <v>28304.748142506873</v>
      </c>
      <c r="M46" s="116"/>
      <c r="N46" s="116"/>
      <c r="O46" s="115"/>
      <c r="P46" s="115">
        <v>612309</v>
      </c>
      <c r="Q46" s="116">
        <v>641410.88463218429</v>
      </c>
      <c r="R46" s="116">
        <v>29159.772391601273</v>
      </c>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1056553</v>
      </c>
      <c r="AT46" s="119">
        <v>2563</v>
      </c>
      <c r="AU46" s="119"/>
      <c r="AV46" s="119"/>
      <c r="AW46" s="324"/>
    </row>
    <row r="47" spans="1:49" x14ac:dyDescent="0.2">
      <c r="B47" s="167" t="s">
        <v>264</v>
      </c>
      <c r="C47" s="68" t="s">
        <v>21</v>
      </c>
      <c r="D47" s="115"/>
      <c r="E47" s="116">
        <v>203.76328129537774</v>
      </c>
      <c r="F47" s="116"/>
      <c r="G47" s="116"/>
      <c r="H47" s="116"/>
      <c r="I47" s="115"/>
      <c r="J47" s="115">
        <v>2098507</v>
      </c>
      <c r="K47" s="116">
        <v>2290974.3266030164</v>
      </c>
      <c r="L47" s="116">
        <v>192467.32660301655</v>
      </c>
      <c r="M47" s="116"/>
      <c r="N47" s="116"/>
      <c r="O47" s="115"/>
      <c r="P47" s="115">
        <v>2049130.9999999998</v>
      </c>
      <c r="Q47" s="116">
        <v>2257748.2325748983</v>
      </c>
      <c r="R47" s="116">
        <v>208820.99585619374</v>
      </c>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1804585</v>
      </c>
      <c r="AT47" s="119">
        <v>165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441.28883680000001</v>
      </c>
      <c r="E49" s="116">
        <v>166.72276904385635</v>
      </c>
      <c r="F49" s="116"/>
      <c r="G49" s="116"/>
      <c r="H49" s="116"/>
      <c r="I49" s="115"/>
      <c r="J49" s="115">
        <v>126059.83695999999</v>
      </c>
      <c r="K49" s="116">
        <v>10353.219824936106</v>
      </c>
      <c r="L49" s="116">
        <v>-7137.7871350638961</v>
      </c>
      <c r="M49" s="116"/>
      <c r="N49" s="116"/>
      <c r="O49" s="115"/>
      <c r="P49" s="115">
        <v>22211.179900000046</v>
      </c>
      <c r="Q49" s="116">
        <v>-257933.20980570986</v>
      </c>
      <c r="R49" s="116">
        <v>-3271.0957734659814</v>
      </c>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489088.52866000001</v>
      </c>
      <c r="AT49" s="119">
        <v>-3030.5274909</v>
      </c>
      <c r="AU49" s="119"/>
      <c r="AV49" s="119"/>
      <c r="AW49" s="324"/>
    </row>
    <row r="50" spans="2:49" ht="25.5" x14ac:dyDescent="0.2">
      <c r="B50" s="161" t="s">
        <v>266</v>
      </c>
      <c r="C50" s="68"/>
      <c r="D50" s="115">
        <v>3.24</v>
      </c>
      <c r="E50" s="116">
        <v>3.6313937774818856</v>
      </c>
      <c r="F50" s="116"/>
      <c r="G50" s="116"/>
      <c r="H50" s="116"/>
      <c r="I50" s="115"/>
      <c r="J50" s="115">
        <v>1538.1899999999991</v>
      </c>
      <c r="K50" s="116">
        <v>1728.7293485771595</v>
      </c>
      <c r="L50" s="116">
        <v>190.5393485771603</v>
      </c>
      <c r="M50" s="116"/>
      <c r="N50" s="116"/>
      <c r="O50" s="115"/>
      <c r="P50" s="115">
        <v>4143.51</v>
      </c>
      <c r="Q50" s="116">
        <v>4341.8760562769203</v>
      </c>
      <c r="R50" s="116">
        <v>198.75745005440194</v>
      </c>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2861.7700000000004</v>
      </c>
      <c r="AT50" s="119">
        <v>5.379999999999999</v>
      </c>
      <c r="AU50" s="119"/>
      <c r="AV50" s="119"/>
      <c r="AW50" s="324"/>
    </row>
    <row r="51" spans="2:49" x14ac:dyDescent="0.2">
      <c r="B51" s="161" t="s">
        <v>267</v>
      </c>
      <c r="C51" s="68"/>
      <c r="D51" s="115">
        <v>7227</v>
      </c>
      <c r="E51" s="116">
        <v>7956.9845782744942</v>
      </c>
      <c r="F51" s="116"/>
      <c r="G51" s="116"/>
      <c r="H51" s="116"/>
      <c r="I51" s="115"/>
      <c r="J51" s="115">
        <v>3031570</v>
      </c>
      <c r="K51" s="116">
        <v>3378329.6729326099</v>
      </c>
      <c r="L51" s="116">
        <v>346759.67293261015</v>
      </c>
      <c r="M51" s="116"/>
      <c r="N51" s="116"/>
      <c r="O51" s="115"/>
      <c r="P51" s="115">
        <v>7731023</v>
      </c>
      <c r="Q51" s="116">
        <v>8088412.1070716092</v>
      </c>
      <c r="R51" s="116">
        <v>358119.09164988314</v>
      </c>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4834800</v>
      </c>
      <c r="AT51" s="119">
        <v>10677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7137</v>
      </c>
      <c r="K56" s="128">
        <v>7115</v>
      </c>
      <c r="L56" s="128"/>
      <c r="M56" s="128"/>
      <c r="N56" s="128"/>
      <c r="O56" s="127"/>
      <c r="P56" s="127">
        <v>11944</v>
      </c>
      <c r="Q56" s="128">
        <v>12140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7515</v>
      </c>
      <c r="AT56" s="129">
        <v>881</v>
      </c>
      <c r="AU56" s="129"/>
      <c r="AV56" s="129"/>
      <c r="AW56" s="315"/>
    </row>
    <row r="57" spans="2:49" x14ac:dyDescent="0.2">
      <c r="B57" s="167" t="s">
        <v>273</v>
      </c>
      <c r="C57" s="68" t="s">
        <v>25</v>
      </c>
      <c r="D57" s="130"/>
      <c r="E57" s="131"/>
      <c r="F57" s="131"/>
      <c r="G57" s="131"/>
      <c r="H57" s="131"/>
      <c r="I57" s="130"/>
      <c r="J57" s="130">
        <v>13941</v>
      </c>
      <c r="K57" s="131">
        <v>13924</v>
      </c>
      <c r="L57" s="131">
        <v>1533</v>
      </c>
      <c r="M57" s="131"/>
      <c r="N57" s="131"/>
      <c r="O57" s="130"/>
      <c r="P57" s="130">
        <v>27186</v>
      </c>
      <c r="Q57" s="131">
        <v>27470</v>
      </c>
      <c r="R57" s="131">
        <v>1547</v>
      </c>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9656</v>
      </c>
      <c r="AT57" s="132">
        <v>693</v>
      </c>
      <c r="AU57" s="132"/>
      <c r="AV57" s="132"/>
      <c r="AW57" s="316"/>
    </row>
    <row r="58" spans="2:49" x14ac:dyDescent="0.2">
      <c r="B58" s="167" t="s">
        <v>274</v>
      </c>
      <c r="C58" s="68" t="s">
        <v>26</v>
      </c>
      <c r="D58" s="336"/>
      <c r="E58" s="337"/>
      <c r="F58" s="337"/>
      <c r="G58" s="337"/>
      <c r="H58" s="337"/>
      <c r="I58" s="336"/>
      <c r="J58" s="130">
        <v>627</v>
      </c>
      <c r="K58" s="131">
        <v>627</v>
      </c>
      <c r="L58" s="131"/>
      <c r="M58" s="131"/>
      <c r="N58" s="131"/>
      <c r="O58" s="130"/>
      <c r="P58" s="130">
        <v>71</v>
      </c>
      <c r="Q58" s="131">
        <v>71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322</v>
      </c>
      <c r="E59" s="131"/>
      <c r="F59" s="131"/>
      <c r="G59" s="131"/>
      <c r="H59" s="131"/>
      <c r="I59" s="130"/>
      <c r="J59" s="130">
        <v>154487</v>
      </c>
      <c r="K59" s="131">
        <v>156416</v>
      </c>
      <c r="L59" s="131">
        <v>15618</v>
      </c>
      <c r="M59" s="131"/>
      <c r="N59" s="131"/>
      <c r="O59" s="130"/>
      <c r="P59" s="130">
        <v>336609</v>
      </c>
      <c r="Q59" s="131">
        <v>337345</v>
      </c>
      <c r="R59" s="131">
        <v>16509</v>
      </c>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111166</v>
      </c>
      <c r="AT59" s="132">
        <v>7680</v>
      </c>
      <c r="AU59" s="132"/>
      <c r="AV59" s="132"/>
      <c r="AW59" s="316"/>
    </row>
    <row r="60" spans="2:49" x14ac:dyDescent="0.2">
      <c r="B60" s="167" t="s">
        <v>276</v>
      </c>
      <c r="C60" s="68"/>
      <c r="D60" s="133">
        <f>D$59/12</f>
        <v>26.833333333333332</v>
      </c>
      <c r="E60" s="134">
        <f>E$59/12</f>
        <v>0</v>
      </c>
      <c r="F60" s="134">
        <f>F$59/12</f>
        <v>0</v>
      </c>
      <c r="G60" s="134">
        <f>G$59/12</f>
        <v>0</v>
      </c>
      <c r="H60" s="134">
        <f>H$59/12</f>
        <v>0</v>
      </c>
      <c r="I60" s="133">
        <f>I$59/12</f>
        <v>0</v>
      </c>
      <c r="J60" s="133">
        <f>J$59/12</f>
        <v>12873.916666666666</v>
      </c>
      <c r="K60" s="134">
        <f>K$59/12</f>
        <v>13034.666666666666</v>
      </c>
      <c r="L60" s="134">
        <f>L$59/12</f>
        <v>1301.5</v>
      </c>
      <c r="M60" s="134">
        <f>M$59/12</f>
        <v>0</v>
      </c>
      <c r="N60" s="134">
        <f>N$59/12</f>
        <v>0</v>
      </c>
      <c r="O60" s="133">
        <f>O$59/12</f>
        <v>0</v>
      </c>
      <c r="P60" s="133">
        <f>P$59/12</f>
        <v>28050.75</v>
      </c>
      <c r="Q60" s="134">
        <f>Q$59/12</f>
        <v>28112.083333333332</v>
      </c>
      <c r="R60" s="134">
        <f>R$59/12</f>
        <v>1375.75</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9263.8333333333339</v>
      </c>
      <c r="AT60" s="135">
        <f>AT$59/12</f>
        <v>640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3948138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805774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37122</v>
      </c>
      <c r="E5" s="124"/>
      <c r="F5" s="124"/>
      <c r="G5" s="136"/>
      <c r="H5" s="136"/>
      <c r="I5" s="123"/>
      <c r="J5" s="123">
        <v>51069681</v>
      </c>
      <c r="K5" s="124">
        <v>56860785.718539402</v>
      </c>
      <c r="L5" s="124">
        <v>5888372.0000000009</v>
      </c>
      <c r="M5" s="124"/>
      <c r="N5" s="124"/>
      <c r="O5" s="123"/>
      <c r="P5" s="123">
        <v>153642877</v>
      </c>
      <c r="Q5" s="124">
        <v>160007764.76028681</v>
      </c>
      <c r="R5" s="124">
        <v>6691362.6199999992</v>
      </c>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82972863</v>
      </c>
      <c r="AT5" s="125">
        <v>219458</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-1627676</v>
      </c>
      <c r="AT11" s="119"/>
      <c r="AU11" s="119"/>
      <c r="AV11" s="317"/>
      <c r="AW11" s="324"/>
    </row>
    <row r="12" spans="2:49" x14ac:dyDescent="0.2">
      <c r="B12" s="182" t="s">
        <v>283</v>
      </c>
      <c r="C12" s="139" t="s">
        <v>44</v>
      </c>
      <c r="D12" s="115"/>
      <c r="E12" s="295"/>
      <c r="F12" s="295"/>
      <c r="G12" s="295"/>
      <c r="H12" s="295"/>
      <c r="I12" s="299"/>
      <c r="J12" s="115">
        <v>4.000000003724935E-2</v>
      </c>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-1538099</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v>540251.68000000005</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36894</v>
      </c>
      <c r="E23" s="294"/>
      <c r="F23" s="294"/>
      <c r="G23" s="294"/>
      <c r="H23" s="294"/>
      <c r="I23" s="298"/>
      <c r="J23" s="115">
        <v>43449355</v>
      </c>
      <c r="K23" s="294"/>
      <c r="L23" s="294"/>
      <c r="M23" s="294"/>
      <c r="N23" s="294"/>
      <c r="O23" s="298"/>
      <c r="P23" s="115">
        <v>129234319</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72533240</v>
      </c>
      <c r="AT23" s="119">
        <v>142017</v>
      </c>
      <c r="AU23" s="119"/>
      <c r="AV23" s="317"/>
      <c r="AW23" s="324"/>
    </row>
    <row r="24" spans="2:49" ht="28.5" customHeight="1" x14ac:dyDescent="0.2">
      <c r="B24" s="184" t="s">
        <v>114</v>
      </c>
      <c r="C24" s="139"/>
      <c r="D24" s="299"/>
      <c r="E24" s="116"/>
      <c r="F24" s="116"/>
      <c r="G24" s="116"/>
      <c r="H24" s="116"/>
      <c r="I24" s="115"/>
      <c r="J24" s="299"/>
      <c r="K24" s="116">
        <v>48366281.359999985</v>
      </c>
      <c r="L24" s="116">
        <v>6200768.0899999999</v>
      </c>
      <c r="M24" s="116"/>
      <c r="N24" s="116"/>
      <c r="O24" s="115"/>
      <c r="P24" s="299"/>
      <c r="Q24" s="116">
        <v>138205665.23000005</v>
      </c>
      <c r="R24" s="116">
        <v>6989042.5700000003</v>
      </c>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129</v>
      </c>
      <c r="E26" s="294"/>
      <c r="F26" s="294"/>
      <c r="G26" s="294"/>
      <c r="H26" s="294"/>
      <c r="I26" s="298"/>
      <c r="J26" s="115">
        <v>4044101</v>
      </c>
      <c r="K26" s="294"/>
      <c r="L26" s="294"/>
      <c r="M26" s="294"/>
      <c r="N26" s="294"/>
      <c r="O26" s="298"/>
      <c r="P26" s="115">
        <v>11101939</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8151501</v>
      </c>
      <c r="AT26" s="119">
        <v>9609</v>
      </c>
      <c r="AU26" s="119"/>
      <c r="AV26" s="317"/>
      <c r="AW26" s="324"/>
    </row>
    <row r="27" spans="2:49" s="11" customFormat="1" ht="25.5" x14ac:dyDescent="0.2">
      <c r="B27" s="184" t="s">
        <v>85</v>
      </c>
      <c r="C27" s="139"/>
      <c r="D27" s="299"/>
      <c r="E27" s="116">
        <v>-266.35000000000002</v>
      </c>
      <c r="F27" s="116"/>
      <c r="G27" s="116"/>
      <c r="H27" s="116"/>
      <c r="I27" s="115"/>
      <c r="J27" s="299"/>
      <c r="K27" s="116">
        <v>849533.75157998025</v>
      </c>
      <c r="L27" s="116">
        <v>203694.39649999997</v>
      </c>
      <c r="M27" s="116"/>
      <c r="N27" s="116"/>
      <c r="O27" s="115"/>
      <c r="P27" s="299"/>
      <c r="Q27" s="116">
        <v>2196556.0308200223</v>
      </c>
      <c r="R27" s="116">
        <v>226765.61369999999</v>
      </c>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v>3933899</v>
      </c>
      <c r="K28" s="295"/>
      <c r="L28" s="295"/>
      <c r="M28" s="295"/>
      <c r="N28" s="295"/>
      <c r="O28" s="299"/>
      <c r="P28" s="115">
        <v>12943744</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5068261</v>
      </c>
      <c r="AT28" s="119">
        <v>3378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12261</v>
      </c>
      <c r="K30" s="294"/>
      <c r="L30" s="294"/>
      <c r="M30" s="294"/>
      <c r="N30" s="294"/>
      <c r="O30" s="298"/>
      <c r="P30" s="115">
        <v>2739</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v>12260.64</v>
      </c>
      <c r="L31" s="116"/>
      <c r="M31" s="116"/>
      <c r="N31" s="116"/>
      <c r="O31" s="115"/>
      <c r="P31" s="299"/>
      <c r="Q31" s="116">
        <v>-5260.6399999999994</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v>8000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86671</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-1627676</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v>25</v>
      </c>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-1538099</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9</v>
      </c>
      <c r="E49" s="116"/>
      <c r="F49" s="116"/>
      <c r="G49" s="116"/>
      <c r="H49" s="116"/>
      <c r="I49" s="115"/>
      <c r="J49" s="115">
        <v>81378</v>
      </c>
      <c r="K49" s="116">
        <v>589269.87686707964</v>
      </c>
      <c r="L49" s="116"/>
      <c r="M49" s="116"/>
      <c r="N49" s="116"/>
      <c r="O49" s="115"/>
      <c r="P49" s="115">
        <v>306646</v>
      </c>
      <c r="Q49" s="116">
        <v>1112076.3131329196</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658388</v>
      </c>
      <c r="AT49" s="119"/>
      <c r="AU49" s="119"/>
      <c r="AV49" s="317"/>
      <c r="AW49" s="324"/>
    </row>
    <row r="50" spans="2:49" x14ac:dyDescent="0.2">
      <c r="B50" s="182" t="s">
        <v>119</v>
      </c>
      <c r="C50" s="139" t="s">
        <v>34</v>
      </c>
      <c r="D50" s="115"/>
      <c r="E50" s="295"/>
      <c r="F50" s="295"/>
      <c r="G50" s="295"/>
      <c r="H50" s="295"/>
      <c r="I50" s="299"/>
      <c r="J50" s="115">
        <v>95273</v>
      </c>
      <c r="K50" s="295"/>
      <c r="L50" s="295"/>
      <c r="M50" s="295"/>
      <c r="N50" s="295"/>
      <c r="O50" s="299"/>
      <c r="P50" s="115">
        <v>175917</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361614</v>
      </c>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-1233017</v>
      </c>
      <c r="L53" s="116">
        <v>-1449332</v>
      </c>
      <c r="M53" s="116"/>
      <c r="N53" s="116"/>
      <c r="O53" s="115"/>
      <c r="P53" s="115"/>
      <c r="Q53" s="116">
        <v>596366</v>
      </c>
      <c r="R53" s="116">
        <v>-1042760</v>
      </c>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37014</v>
      </c>
      <c r="E54" s="121">
        <f>E24+E27+E31+E35-E36+E39+E42+E45+E46-E49+E51+E52+E53</f>
        <v>-266.35000000000002</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43585688</v>
      </c>
      <c r="K54" s="121">
        <f>K24+K27+K31+K35-K36+K39+K42+K45+K46-K49+K51+K52+K53</f>
        <v>47405788.874712884</v>
      </c>
      <c r="L54" s="121">
        <f>L24+L27+L31+L35-L36+L39+L42+L45+L46-L49+L51+L52+L53</f>
        <v>4955130.4864999996</v>
      </c>
      <c r="M54" s="121">
        <f>M24+M27+M31+M35-M36+M39+M42+M45+M46-M49+M51+M52+M53</f>
        <v>0</v>
      </c>
      <c r="N54" s="121">
        <f>N24+N27+N31+N35-N36+N39+N42+N45+N46-N49+N51+N52+N53</f>
        <v>0</v>
      </c>
      <c r="O54" s="120">
        <f>O24+O27+O31+O35-O36+O39+O42+O45+O46-O49+O51+O52+O53</f>
        <v>0</v>
      </c>
      <c r="P54" s="120">
        <f>P23+P26-P28+P30-P32+P34-P36+P38+P41-P43+P45+P46-P47-P49+P50+P51+P52+P53</f>
        <v>127256524</v>
      </c>
      <c r="Q54" s="121">
        <f>Q24+Q27+Q31+Q35-Q36+Q39+Q42+Q45+Q46-Q49+Q51+Q52+Q53</f>
        <v>139881250.30768716</v>
      </c>
      <c r="R54" s="121">
        <f>R24+R27+R31+R35-R36+R39+R42+R45+R46-R49+R51+R52+R53</f>
        <v>6173048.1836999999</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75316800</v>
      </c>
      <c r="AT54" s="122">
        <f>AT23+AT26-AT28+AT30-AT32+AT34-AT36+AT38+AT41-AT43+AT45+AT46-AT47-AT49+AT50+AT51+AT52+AT53</f>
        <v>148248</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47921</v>
      </c>
      <c r="K55" s="121">
        <f>MIN(MAX(0,K56),MAX(0,K57))</f>
        <v>52212.65</v>
      </c>
      <c r="L55" s="121">
        <f>MIN(MAX(0,L56),MAX(0,L57))</f>
        <v>0</v>
      </c>
      <c r="M55" s="121">
        <f>MIN(MAX(0,M56),MAX(0,M57))</f>
        <v>0</v>
      </c>
      <c r="N55" s="121">
        <f>MIN(MAX(0,N56),MAX(0,N57))</f>
        <v>0</v>
      </c>
      <c r="O55" s="120">
        <f>MIN(MAX(0,O56),MAX(0,O57))</f>
        <v>0</v>
      </c>
      <c r="P55" s="120">
        <f>MIN(MAX(0,P56),MAX(0,P57))</f>
        <v>241144</v>
      </c>
      <c r="Q55" s="121">
        <f>MIN(MAX(0,Q56),MAX(0,Q57))</f>
        <v>241320.95999999999</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160</v>
      </c>
      <c r="E56" s="116">
        <v>160.16999999999999</v>
      </c>
      <c r="F56" s="116"/>
      <c r="G56" s="116"/>
      <c r="H56" s="116"/>
      <c r="I56" s="115"/>
      <c r="J56" s="115">
        <v>71076</v>
      </c>
      <c r="K56" s="116">
        <v>71240.87</v>
      </c>
      <c r="L56" s="116"/>
      <c r="M56" s="116"/>
      <c r="N56" s="116"/>
      <c r="O56" s="115"/>
      <c r="P56" s="115">
        <v>241144</v>
      </c>
      <c r="Q56" s="116">
        <v>241320.95999999999</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v>47921</v>
      </c>
      <c r="K57" s="116">
        <v>52212.65</v>
      </c>
      <c r="L57" s="116"/>
      <c r="M57" s="116"/>
      <c r="N57" s="116"/>
      <c r="O57" s="115"/>
      <c r="P57" s="115">
        <v>316930</v>
      </c>
      <c r="Q57" s="116">
        <v>336435.21</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500541</v>
      </c>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v>33623954.039999999</v>
      </c>
      <c r="I5" s="124">
        <v>39929742.798875727</v>
      </c>
      <c r="J5" s="352"/>
      <c r="K5" s="352"/>
      <c r="L5" s="318"/>
      <c r="M5" s="123">
        <v>164510125.46000001</v>
      </c>
      <c r="N5" s="124">
        <v>134279492.20112428</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-266.35000000000002</v>
      </c>
      <c r="F6" s="121">
        <f>SUM(C6:E6)</f>
        <v>-266.35000000000002</v>
      </c>
      <c r="G6" s="122">
        <f>SUM('Pt 1 Summary of Data'!I$12,'Pt 1 Summary of Data'!I$22)</f>
        <v>0</v>
      </c>
      <c r="H6" s="115">
        <v>33863693.379739478</v>
      </c>
      <c r="I6" s="116">
        <v>39821404.784185022</v>
      </c>
      <c r="J6" s="121">
        <f>SUM('Pt 1 Summary of Data'!K$12,'Pt 1 Summary of Data'!K$22)+SUM('Pt 1 Summary of Data'!M$12,'Pt 1 Summary of Data'!M$22)-SUM('Pt 1 Summary of Data'!N$12,'Pt 1 Summary of Data'!N$22)</f>
        <v>47458001.524712883</v>
      </c>
      <c r="K6" s="121">
        <f>SUM(H6:J6)</f>
        <v>121143099.68863738</v>
      </c>
      <c r="L6" s="122">
        <f>SUM('Pt 1 Summary of Data'!O$12,'Pt 1 Summary of Data'!O$22)</f>
        <v>0</v>
      </c>
      <c r="M6" s="115">
        <v>164698147.35026059</v>
      </c>
      <c r="N6" s="116">
        <v>134536144.44561499</v>
      </c>
      <c r="O6" s="121">
        <f>SUM('Pt 1 Summary of Data'!Q$12,'Pt 1 Summary of Data'!Q$22)+SUM('Pt 1 Summary of Data'!S$12,'Pt 1 Summary of Data'!S$22)-SUM('Pt 1 Summary of Data'!T$12,'Pt 1 Summary of Data'!T$22)</f>
        <v>140122571.26768717</v>
      </c>
      <c r="P6" s="121">
        <f>SUM(M6:O6)</f>
        <v>439356863.06356275</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-69</v>
      </c>
      <c r="D7" s="116"/>
      <c r="E7" s="121">
        <f>SUM('Pt 1 Summary of Data'!E$37:E$41)+SUM('Pt 1 Summary of Data'!G$37:G$41)-SUM('Pt 1 Summary of Data'!H$37:H$41)+MAX(0,MIN('Pt 1 Summary of Data'!E$42+'Pt 1 Summary of Data'!G$42-'Pt 1 Summary of Data'!H$42,0.3%*('Pt 1 Summary of Data'!E$5+'Pt 1 Summary of Data'!G$5-'Pt 1 Summary of Data'!H$5-SUM(E$9:E$11))))</f>
        <v>2264.29</v>
      </c>
      <c r="F7" s="121">
        <f>SUM(C7:E7)</f>
        <v>2195.29</v>
      </c>
      <c r="G7" s="122">
        <f>SUM('Pt 1 Summary of Data'!I$37:I$41)+MAX(0,MIN('Pt 1 Summary of Data'!I$42,0.3%*('Pt 1 Summary of Data'!I$5-SUM(G$9:G$10))))</f>
        <v>0</v>
      </c>
      <c r="H7" s="115">
        <v>953643.73</v>
      </c>
      <c r="I7" s="116">
        <v>940500.89</v>
      </c>
      <c r="J7" s="121">
        <f>SUM('Pt 1 Summary of Data'!K$37:K$41)+SUM('Pt 1 Summary of Data'!M$37:M$41)-SUM('Pt 1 Summary of Data'!N$37:N$41)+MAX(0,MIN('Pt 1 Summary of Data'!K$42+'Pt 1 Summary of Data'!M$42-'Pt 1 Summary of Data'!N$42,0.3%*('Pt 1 Summary of Data'!K$5+'Pt 1 Summary of Data'!M$5-'Pt 1 Summary of Data'!N$5-SUM(J$10:J$11))))</f>
        <v>1093245.7</v>
      </c>
      <c r="K7" s="121">
        <f>SUM(H7:J7)</f>
        <v>2987390.3200000003</v>
      </c>
      <c r="L7" s="122">
        <f>SUM('Pt 1 Summary of Data'!O$37:O$41)+MAX(0,MIN('Pt 1 Summary of Data'!O$42,0.3%*('Pt 1 Summary of Data'!O$5-L$10)))</f>
        <v>0</v>
      </c>
      <c r="M7" s="115">
        <v>3742397.3199999994</v>
      </c>
      <c r="N7" s="116">
        <v>2637209.1500000004</v>
      </c>
      <c r="O7" s="121">
        <f>SUM('Pt 1 Summary of Data'!Q$37:Q$41)+SUM('Pt 1 Summary of Data'!S$37:S$41)-SUM('Pt 1 Summary of Data'!T$37:T$41)+MAX(0,MIN('Pt 1 Summary of Data'!Q$42+'Pt 1 Summary of Data'!S$42-'Pt 1 Summary of Data'!T$42,0.3%*('Pt 1 Summary of Data'!Q$5+'Pt 1 Summary of Data'!S$5-'Pt 1 Summary of Data'!T$5)))</f>
        <v>2395181.3899999997</v>
      </c>
      <c r="P7" s="121">
        <f>SUM(M7:O7)</f>
        <v>8774787.8599999994</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540251.68000000005</v>
      </c>
      <c r="K10" s="121">
        <f>SUM(H10:J10)</f>
        <v>540251.68000000005</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-69</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1997.94</v>
      </c>
      <c r="F12" s="121">
        <f>IFERROR(SUM(C$12:E$12)+C$17*MAX(0,E$49-C$49)+D$17*MAX(0,E$49-D$49),0)</f>
        <v>1928.94</v>
      </c>
      <c r="G12" s="317"/>
      <c r="H12" s="120">
        <f>SUM(H$6:H$7)+IF(AND(OR('Company Information'!$C$12="District of Columbia",'Company Information'!$C$12="Massachusetts",'Company Information'!$C$12="Vermont"),SUM($H$6:$K$11,$H$15:$K$16,$H$37:$I$37)&lt;&gt;0),SUM(C$6:C$7),0)</f>
        <v>34817337.109739475</v>
      </c>
      <c r="I12" s="121">
        <f>SUM(I$6:I$7)+IF(AND(OR('Company Information'!$C$12="District of Columbia",'Company Information'!$C$12="Massachusetts",'Company Information'!$C$12="Vermont"),SUM($H$6:$K$11,$H$15:$K$16,$H$37:$I$37)&lt;&gt;0),SUM(D$6:D$7),0)</f>
        <v>40761905.674185023</v>
      </c>
      <c r="J12" s="121">
        <f>SUM(J$6:J$7)-SUM(J$10:J$11)+IF(AND(OR('Company Information'!$C$12="District of Columbia",'Company Information'!$C$12="Massachusetts",'Company Information'!$C$12="Vermont"),SUM($H$6:$K$11,$H$15:$K$16,$H$37:$I$37)&lt;&gt;0),SUM(E$6:E$7)-SUM(E$8:E$11),0)</f>
        <v>48010995.544712886</v>
      </c>
      <c r="K12" s="121">
        <f>IFERROR(SUM(H$12:J$12)+H$17*MAX(0,J$49-H$49)+I$17*MAX(0,J$49-I$49),0)</f>
        <v>123590238.32863738</v>
      </c>
      <c r="L12" s="317"/>
      <c r="M12" s="120">
        <f>SUM(M$6:M$7)</f>
        <v>168440544.67026058</v>
      </c>
      <c r="N12" s="121">
        <f>SUM(N$6:N$7)</f>
        <v>137173353.595615</v>
      </c>
      <c r="O12" s="121">
        <f>SUM(O$6:O$7)</f>
        <v>142517752.65768716</v>
      </c>
      <c r="P12" s="121">
        <f>SUM(M$12:O$12)+M$17*MAX(0,O$49-M$49)+N$17*MAX(0,O$49-N$49)</f>
        <v>448131650.92356277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-1.3308861350856815</v>
      </c>
      <c r="F15" s="112">
        <f>SUM(C15:E15)</f>
        <v>-1.3308861350856815</v>
      </c>
      <c r="G15" s="113">
        <f>SUM('Pt 1 Summary of Data'!I$5:I$7)-SUM(G$9:G$10)</f>
        <v>0</v>
      </c>
      <c r="H15" s="123">
        <v>41053272.579999998</v>
      </c>
      <c r="I15" s="124">
        <v>46216882.904887199</v>
      </c>
      <c r="J15" s="112">
        <f>SUM('Pt 1 Summary of Data'!K$5:K$7)+SUM('Pt 1 Summary of Data'!M$5:M$7)-SUM('Pt 1 Summary of Data'!N$5:N$7)-SUM(J$10:J$11)+I$55</f>
        <v>57012295.917158656</v>
      </c>
      <c r="K15" s="112">
        <f>SUM(H15:J15)</f>
        <v>144282451.40204585</v>
      </c>
      <c r="L15" s="113">
        <f>SUM('Pt 1 Summary of Data'!O$5:O$7)-L$10</f>
        <v>0</v>
      </c>
      <c r="M15" s="123">
        <v>198384764.26999998</v>
      </c>
      <c r="N15" s="124">
        <v>161278760.38467172</v>
      </c>
      <c r="O15" s="112">
        <f>SUM('Pt 1 Summary of Data'!Q$5:Q$7)+SUM('Pt 1 Summary of Data'!S$5:S$7)-SUM('Pt 1 Summary of Data'!T$5:T$7)+N$55</f>
        <v>160488334.86494926</v>
      </c>
      <c r="P15" s="112">
        <f>SUM(M15:O15)</f>
        <v>520151859.5196209</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353.54126308427152</v>
      </c>
      <c r="F16" s="121">
        <f>SUM(C16:E16)</f>
        <v>353.54126308427152</v>
      </c>
      <c r="G16" s="122">
        <f>SUM('Pt 1 Summary of Data'!I$25:I$28,'Pt 1 Summary of Data'!I$30,'Pt 1 Summary of Data'!I$34:I$35)+IF('Company Information'!$C$15="No",IF(MAX('Pt 1 Summary of Data'!I$31:I$32)=0,MIN('Pt 1 Summary of Data'!I$31:I$32),MAX('Pt 1 Summary of Data'!I$31:I$32)),SUM('Pt 1 Summary of Data'!I$31:I$32))</f>
        <v>0</v>
      </c>
      <c r="H16" s="115">
        <v>-70862.039999999979</v>
      </c>
      <c r="I16" s="116">
        <v>255457.04522423612</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1669574.3883411735</v>
      </c>
      <c r="K16" s="121">
        <f>SUM(H16:J16)</f>
        <v>1854169.3935654096</v>
      </c>
      <c r="L16" s="122">
        <f>SUM('Pt 1 Summary of Data'!O$25:O$28,'Pt 1 Summary of Data'!O$30,'Pt 1 Summary of Data'!O$34:O$35)+IF('Company Information'!$C$15="No",IF(MAX('Pt 1 Summary of Data'!O$31:O$32)=0,MIN('Pt 1 Summary of Data'!O$31:O$32),MAX('Pt 1 Summary of Data'!O$31:O$32)),SUM('Pt 1 Summary of Data'!O$31:O$32))</f>
        <v>0</v>
      </c>
      <c r="M16" s="115">
        <v>3121852.2700000005</v>
      </c>
      <c r="N16" s="116">
        <v>1412258.459648517</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6124090.447755265</v>
      </c>
      <c r="P16" s="121">
        <f>SUM(M16:O16)</f>
        <v>10658201.177403782</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-354.8721492193572</v>
      </c>
      <c r="F17" s="121">
        <f>F$15-F$16+IF(AND(OR('Company Information'!$C$12="District of Columbia",'Company Information'!$C$12="Massachusetts",'Company Information'!$C$12="Vermont"),SUM($C$6:$F$11,$C$15:$F$16,$C$37:$D$37)&lt;&gt;0),K$15-K$16,0)</f>
        <v>-354.8721492193572</v>
      </c>
      <c r="G17" s="320"/>
      <c r="H17" s="120">
        <f>H$15-H$16+IF(AND(OR('Company Information'!$C$12="District of Columbia",'Company Information'!$C$12="Massachusetts",'Company Information'!$C$12="Vermont"),SUM($H$6:$K$11,$H$15:$K$16,$H$37:$I$37)&lt;&gt;0),C$15-C$16,0)</f>
        <v>41124134.619999997</v>
      </c>
      <c r="I17" s="121">
        <f>I$15-I$16+IF(AND(OR('Company Information'!$C$12="District of Columbia",'Company Information'!$C$12="Massachusetts",'Company Information'!$C$12="Vermont"),SUM($H$6:$K$11,$H$15:$K$16,$H$37:$I$37)&lt;&gt;0),D$15-D$16,0)</f>
        <v>45961425.859662965</v>
      </c>
      <c r="J17" s="121">
        <f>J$15-J$16+IF(AND(OR('Company Information'!$C$12="District of Columbia",'Company Information'!$C$12="Massachusetts",'Company Information'!$C$12="Vermont"),SUM($H$6:$K$11,$H$15:$K$16,$H$37:$I$37)&lt;&gt;0),E$15-E$16,0)</f>
        <v>55342721.528817482</v>
      </c>
      <c r="K17" s="121">
        <f>K$15-K$16+IF(AND(OR('Company Information'!$C$12="District of Columbia",'Company Information'!$C$12="Massachusetts",'Company Information'!$C$12="Vermont"),SUM($H$6:$K$11,$H$15:$K$16,$H$37:$I$37)&lt;&gt;0),F$15-F$16,0)</f>
        <v>142428282.00848043</v>
      </c>
      <c r="L17" s="320"/>
      <c r="M17" s="120">
        <f>M$15-M$16</f>
        <v>195262911.99999997</v>
      </c>
      <c r="N17" s="121">
        <f>N$15-N$16</f>
        <v>159866501.9250232</v>
      </c>
      <c r="O17" s="121">
        <f>O$15-O$16</f>
        <v>154364244.41719398</v>
      </c>
      <c r="P17" s="121">
        <f>P$15-P$16</f>
        <v>509493658.34221709</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v>10018.5</v>
      </c>
      <c r="I37" s="128">
        <v>10718</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13034.666666666666</v>
      </c>
      <c r="K37" s="262">
        <f>SUM(H$37:J$37)+IF(AND(OR('Company Information'!$C$12="District of Columbia",'Company Information'!$C$12="Massachusetts",'Company Information'!$C$12="Vermont"),SUM($H$6:$K$11,$H$15:$K$16,$H$37:$I$37)&lt;&gt;0,SUM(H$37:I$37)&lt;&gt;SUM(C$37:D$37)),SUM(C$37:D$37),0)</f>
        <v>33771.166666666664</v>
      </c>
      <c r="L37" s="318"/>
      <c r="M37" s="127">
        <v>37926.75</v>
      </c>
      <c r="N37" s="128">
        <v>29412</v>
      </c>
      <c r="O37" s="262">
        <f>('Pt 1 Summary of Data'!Q$59+'Pt 1 Summary of Data'!S$59-'Pt 1 Summary of Data'!T$59)/12</f>
        <v>28112.083333333332</v>
      </c>
      <c r="P37" s="262">
        <f>SUM(M$37:O$37)</f>
        <v>95450.833333333328</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1.4596613333333334E-2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2693.7410796354716</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1.1824441507812968</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 ca="1">IF(OR(K$37&lt;1000,K$37&gt;=75000),0,K$38*K$40)</f>
        <v>1.725968005721629E-2</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f>IF(OR(H$37&lt;1000,H$17&lt;=0),"",H$12/H$17)</f>
        <v>0.84663999453028438</v>
      </c>
      <c r="I44" s="266">
        <f>IF(OR(I$37&lt;1000,I$17&lt;=0),"",I$12/I$17)</f>
        <v>0.88687208701153053</v>
      </c>
      <c r="J44" s="266">
        <f>IF(OR(J$37&lt;1000,J$17&lt;=0),"",J$12/J$17)</f>
        <v>0.86752140513568898</v>
      </c>
      <c r="K44" s="266">
        <f>IF(OR(K$37&lt;1000,K$17&lt;=0),"",K$12/K$17)</f>
        <v>0.86773663619195096</v>
      </c>
      <c r="L44" s="317"/>
      <c r="M44" s="268">
        <f>IF(OR(M$37&lt;1000,M$17&lt;=0),"",M$12/M$17)</f>
        <v>0.86263460349429089</v>
      </c>
      <c r="N44" s="266">
        <f>IF(OR(N$37&lt;1000,N$17&lt;=0),"",N$12/N$17)</f>
        <v>0.85804938460434188</v>
      </c>
      <c r="O44" s="266">
        <f>IF(OR(O$37&lt;1000,O$17&lt;=0),"",O$12/O$17)</f>
        <v>0.92325624496635506</v>
      </c>
      <c r="P44" s="266">
        <f>IF(OR(P$37&lt;1000,P$17&lt;=0),"",P$12/P$17)</f>
        <v>0.8795627650826644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f ca="1">IF(K$44="","",K$41)</f>
        <v>1.725968005721629E-2</v>
      </c>
      <c r="L46" s="317"/>
      <c r="M46" s="298"/>
      <c r="N46" s="294"/>
      <c r="O46" s="294"/>
      <c r="P46" s="266">
        <f>IF(P$44="","",P$41)</f>
        <v>0</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f ca="1">IF(K$44="","",ROUND(K$44+MAX(0,K$46),3))</f>
        <v>0.88500000000000001</v>
      </c>
      <c r="L47" s="317"/>
      <c r="M47" s="298"/>
      <c r="N47" s="294"/>
      <c r="O47" s="294"/>
      <c r="P47" s="266">
        <f>IF(P$44="","",ROUND(P$44+MAX(0,P$46),3))</f>
        <v>0.88</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0</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f ca="1">K$47</f>
        <v>0.88500000000000001</v>
      </c>
      <c r="L50" s="317"/>
      <c r="M50" s="299"/>
      <c r="N50" s="295"/>
      <c r="O50" s="295"/>
      <c r="P50" s="266">
        <f>P$47</f>
        <v>0.88</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f>IF(K$37&lt;1000,"",MAX(0,J$15-J$16))</f>
        <v>55342721.528817482</v>
      </c>
      <c r="L51" s="317"/>
      <c r="M51" s="298"/>
      <c r="N51" s="294"/>
      <c r="O51" s="294"/>
      <c r="P51" s="121">
        <f>IF(P$37&lt;1000,"",MAX(0,O$15-O$16))</f>
        <v>154364244.41719398</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 ca="1">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v>164766.793033175</v>
      </c>
      <c r="J55" s="294"/>
      <c r="K55" s="294"/>
      <c r="L55" s="317"/>
      <c r="M55" s="298"/>
      <c r="N55" s="116">
        <v>495316.65483457351</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v>904.51141308826971</v>
      </c>
      <c r="J56" s="294"/>
      <c r="K56" s="294"/>
      <c r="L56" s="317"/>
      <c r="M56" s="298"/>
      <c r="N56" s="116">
        <v>4314.0489332311863</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7115</v>
      </c>
      <c r="E4" s="155">
        <f>'Pt 1 Summary of Data'!$Q$56+'Pt 1 Summary of Data'!$S$56-'Pt 1 Summary of Data'!$T$56</f>
        <v>12140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 ca="1">'Pt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t="s">
        <v>506</v>
      </c>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505</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2015-07-22T19:50:42Z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