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5100" windowWidth="18120" windowHeight="129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B62" i="22" l="1"/>
  <c r="B50" i="22"/>
  <c r="B36" i="22"/>
  <c r="B22" i="22"/>
  <c r="AU22" i="4"/>
  <c r="AS22" i="4"/>
  <c r="AU12" i="4"/>
  <c r="AS12" i="4"/>
  <c r="AU5" i="4"/>
  <c r="AS5" i="4"/>
  <c r="AU54" i="18"/>
  <c r="AS54" i="18"/>
  <c r="G21" i="10" l="1"/>
  <c r="G22" i="10"/>
  <c r="E12" i="10"/>
  <c r="I18" i="18"/>
  <c r="E18" i="18"/>
  <c r="F38" i="10" l="1"/>
  <c r="E38" i="10"/>
  <c r="I5" i="4"/>
  <c r="D5" i="4"/>
  <c r="AU60" i="4"/>
  <c r="AS60" i="4"/>
  <c r="G16" i="10" l="1"/>
  <c r="E16" i="10"/>
  <c r="F16" i="10" s="1"/>
  <c r="G58" i="10"/>
  <c r="F51" i="10"/>
  <c r="G20" i="10"/>
  <c r="D17" i="10"/>
  <c r="D12" i="10"/>
  <c r="E11" i="10"/>
  <c r="G10" i="10"/>
  <c r="E10" i="10"/>
  <c r="F10" i="10" s="1"/>
  <c r="G9" i="10"/>
  <c r="E9" i="10"/>
  <c r="G8" i="10"/>
  <c r="E8" i="10"/>
  <c r="F8" i="10" s="1"/>
  <c r="G7" i="10"/>
  <c r="E7" i="10"/>
  <c r="F7" i="10"/>
  <c r="E60" i="4"/>
  <c r="I60" i="4" s="1"/>
  <c r="D60" i="4"/>
  <c r="E5" i="4"/>
  <c r="G15" i="10" s="1"/>
  <c r="E55" i="18"/>
  <c r="I55" i="18" s="1"/>
  <c r="D55" i="18"/>
  <c r="D22" i="4" s="1"/>
  <c r="E54" i="18"/>
  <c r="I54" i="18" s="1"/>
  <c r="D54" i="18"/>
  <c r="D12" i="4" s="1"/>
  <c r="F11" i="10" l="1"/>
  <c r="E22" i="4"/>
  <c r="I22" i="4" s="1"/>
  <c r="E12" i="4"/>
  <c r="F9" i="10"/>
  <c r="G23" i="10"/>
  <c r="G24" i="10"/>
  <c r="G27" i="10"/>
  <c r="G32" i="10"/>
  <c r="E15" i="10"/>
  <c r="I12" i="4" l="1"/>
  <c r="G6" i="10" s="1"/>
  <c r="G19" i="10" s="1"/>
  <c r="G26" i="10" s="1"/>
  <c r="E6" i="10"/>
  <c r="E17" i="10"/>
  <c r="F15" i="10"/>
  <c r="G30" i="10"/>
  <c r="G31" i="10" s="1"/>
  <c r="G29" i="10" s="1"/>
  <c r="G33" i="10" s="1"/>
  <c r="G34" i="10" s="1"/>
  <c r="G25" i="10"/>
  <c r="G28" i="10" s="1"/>
  <c r="F6" i="10" l="1"/>
  <c r="F12" i="10" s="1"/>
  <c r="F17" i="10"/>
</calcChain>
</file>

<file path=xl/sharedStrings.xml><?xml version="1.0" encoding="utf-8"?>
<sst xmlns="http://schemas.openxmlformats.org/spreadsheetml/2006/main" count="624" uniqueCount="543">
  <si>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</si>
  <si>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</si>
  <si>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</si>
  <si>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</si>
  <si>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</si>
  <si>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</si>
  <si>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</si>
  <si>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</si>
  <si>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</si>
  <si>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</si>
  <si>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</si>
  <si>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</si>
  <si>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</si>
  <si>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</si>
  <si>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</si>
  <si>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</si>
  <si>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</si>
  <si>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</si>
  <si>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</si>
  <si>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</si>
  <si>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</si>
  <si>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</si>
  <si>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</si>
  <si>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</si>
  <si>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</si>
  <si>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</si>
  <si>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</si>
  <si>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</si>
  <si>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</si>
  <si>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</si>
  <si>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</si>
  <si>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</si>
  <si>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</si>
  <si>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</si>
  <si>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</si>
  <si>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</si>
  <si>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</si>
  <si>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</si>
  <si>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</si>
  <si>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</si>
  <si>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</si>
  <si>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</si>
  <si>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</si>
  <si>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</si>
  <si>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</si>
  <si>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</si>
  <si>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</si>
  <si>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</si>
  <si>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</si>
  <si>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</si>
  <si>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</si>
  <si>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</si>
  <si>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</si>
  <si>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</si>
  <si>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</si>
  <si>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</si>
  <si>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</si>
  <si>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</si>
  <si>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</si>
  <si>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</si>
  <si>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</si>
  <si>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</si>
  <si>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</si>
  <si>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</si>
  <si>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</si>
  <si>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</si>
  <si>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</si>
  <si>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</si>
  <si>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</si>
  <si>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</si>
  <si>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</si>
  <si>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</si>
  <si>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</si>
  <si>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</si>
  <si>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</si>
  <si>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</si>
  <si>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</si>
  <si>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</si>
  <si>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</si>
  <si>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</si>
  <si>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</si>
  <si>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</si>
  <si>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</si>
  <si>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</si>
  <si>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</si>
  <si>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</si>
  <si>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</si>
  <si>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</si>
  <si>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</si>
  <si>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</si>
  <si>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</si>
  <si>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</si>
  <si>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</si>
  <si>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</si>
  <si>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</si>
  <si>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</si>
  <si>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</si>
  <si>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</si>
  <si>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</si>
  <si>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</si>
  <si>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</si>
  <si>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</si>
  <si>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</si>
  <si>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</si>
  <si>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</si>
  <si>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</si>
  <si>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</si>
  <si>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</si>
  <si>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</si>
  <si>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</si>
  <si>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</si>
  <si>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</si>
  <si>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</si>
  <si>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</si>
  <si>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</si>
  <si>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</si>
  <si>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</si>
  <si>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</si>
  <si>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</si>
  <si>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</si>
  <si>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</si>
  <si>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</si>
  <si>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</si>
  <si>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</si>
  <si>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</si>
  <si>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</si>
  <si>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</si>
  <si>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</si>
  <si>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</si>
  <si>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</si>
  <si>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</si>
  <si>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</si>
  <si>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</si>
  <si>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</si>
  <si>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</si>
  <si>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</si>
  <si>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</si>
  <si>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</si>
  <si>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</si>
  <si>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</si>
  <si>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</si>
  <si>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</si>
  <si>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</si>
  <si>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</si>
  <si>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</si>
  <si>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</si>
  <si>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</si>
  <si>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</si>
  <si>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</si>
  <si>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</si>
  <si>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</si>
  <si>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</si>
  <si>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</si>
  <si>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</si>
  <si>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</si>
  <si>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</si>
  <si>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</si>
  <si>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</si>
  <si>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</si>
  <si>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</si>
  <si>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</si>
  <si>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</si>
  <si>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</si>
  <si>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</si>
  <si>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</si>
  <si>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</si>
  <si>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</si>
  <si>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</si>
  <si>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</si>
  <si>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</si>
  <si>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</si>
  <si>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</si>
  <si>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</si>
  <si>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</si>
  <si>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</si>
  <si>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</si>
  <si>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</si>
  <si>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</si>
  <si>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</si>
  <si>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</si>
  <si>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</si>
  <si>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</si>
  <si>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</si>
  <si>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</si>
  <si>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</si>
  <si>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</si>
  <si>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</si>
  <si>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</si>
  <si>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</si>
  <si>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</si>
  <si>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</si>
  <si>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</si>
  <si>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</si>
  <si>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</si>
  <si>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</si>
  <si>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</si>
  <si>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</si>
  <si>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</si>
  <si>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</si>
  <si>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</si>
  <si>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</si>
  <si>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</si>
  <si>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</si>
  <si>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</si>
  <si>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</si>
  <si>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</si>
  <si>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</si>
  <si>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</si>
  <si>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</si>
  <si>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</si>
  <si>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</si>
  <si>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</si>
  <si>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</si>
  <si>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</si>
  <si>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</si>
  <si>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</si>
  <si>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</si>
  <si>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</si>
  <si>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</si>
  <si>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</si>
  <si>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</si>
  <si>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</si>
  <si>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</si>
  <si>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</si>
  <si>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</si>
  <si>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</si>
  <si>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</si>
  <si>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</si>
  <si>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</si>
  <si>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</si>
  <si>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</si>
  <si>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</si>
  <si>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</si>
  <si>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</si>
  <si>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</si>
  <si>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</si>
  <si>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</si>
  <si>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</si>
  <si>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</si>
  <si>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</si>
  <si>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</si>
  <si>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</si>
  <si>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</si>
  <si>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</si>
  <si>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</si>
  <si>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</si>
  <si>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</si>
  <si>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</si>
  <si>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</si>
  <si>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</si>
  <si>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</si>
  <si>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</si>
  <si>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</si>
  <si>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</si>
  <si>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</si>
  <si>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</si>
  <si>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</si>
  <si>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</si>
  <si>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</si>
  <si>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</si>
  <si>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</si>
  <si>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</si>
  <si>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</si>
  <si>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</si>
  <si>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</si>
  <si>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</si>
  <si>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</si>
  <si>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</si>
  <si>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</si>
  <si>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</si>
  <si>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</si>
  <si>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</si>
  <si>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</si>
  <si>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</si>
  <si>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</si>
  <si>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</si>
  <si>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</si>
  <si>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</si>
  <si>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</si>
  <si>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</si>
  <si>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</si>
  <si>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</si>
  <si>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</si>
  <si>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</si>
  <si>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</si>
  <si>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</si>
  <si>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</si>
  <si>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</si>
  <si>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</si>
  <si>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</si>
  <si>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</si>
  <si>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</si>
  <si>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</si>
  <si>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</si>
  <si>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</si>
  <si>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</si>
  <si>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</si>
  <si>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</si>
  <si>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</si>
  <si>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</si>
  <si>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</si>
  <si>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</si>
  <si>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</si>
  <si>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</si>
  <si>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</si>
  <si>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</si>
  <si>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</si>
  <si>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</si>
  <si>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</si>
  <si>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</si>
  <si>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</si>
  <si>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</si>
  <si>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</si>
  <si>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</si>
  <si>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</si>
  <si>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</si>
  <si>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</si>
  <si>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</si>
  <si>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</si>
  <si>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</si>
  <si>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</si>
  <si>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</si>
  <si>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</si>
  <si>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</si>
  <si>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</si>
  <si>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</si>
  <si>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</si>
  <si>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</si>
  <si>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</si>
  <si>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</si>
  <si>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</si>
  <si>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</si>
  <si>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</si>
  <si>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</si>
  <si>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</si>
  <si>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</si>
  <si>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</si>
  <si>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</si>
  <si>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</si>
  <si>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</si>
  <si>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</si>
  <si>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</si>
  <si>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</si>
  <si>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</si>
  <si>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</si>
  <si>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</si>
  <si>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</si>
  <si>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</si>
  <si>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</si>
  <si>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</si>
  <si>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</si>
  <si>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</si>
  <si>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</si>
  <si>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</si>
  <si>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</si>
  <si>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</si>
  <si>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</si>
  <si>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</si>
  <si>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</si>
  <si>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</si>
  <si>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</si>
  <si>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</si>
  <si>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</si>
  <si>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</si>
  <si>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</si>
  <si>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</si>
  <si>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</si>
  <si>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</si>
  <si>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</si>
  <si>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</si>
  <si>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</si>
  <si>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</si>
  <si>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</si>
  <si>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</si>
  <si>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</si>
  <si>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</si>
  <si>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</si>
  <si>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</si>
  <si>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</si>
  <si>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</si>
  <si>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</si>
  <si>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</si>
  <si>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</si>
  <si>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</si>
  <si>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</si>
  <si>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</si>
  <si>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</si>
  <si>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</si>
  <si>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</si>
  <si>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</si>
  <si>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</si>
  <si>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</si>
  <si>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</si>
  <si>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</si>
  <si>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</si>
  <si>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</si>
  <si>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</si>
  <si>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</si>
  <si>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</si>
  <si>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</si>
  <si>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</si>
  <si>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</si>
  <si>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</si>
  <si>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</si>
  <si>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</si>
  <si>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</si>
  <si>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</si>
  <si>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</si>
  <si>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</si>
  <si>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</si>
  <si>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</si>
  <si>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</si>
  <si>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</si>
  <si>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</si>
  <si>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</si>
  <si>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</si>
  <si>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</si>
  <si>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</si>
  <si>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</si>
  <si>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</si>
  <si>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</si>
  <si>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</si>
  <si>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</si>
  <si>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</si>
  <si>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</si>
  <si>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</si>
  <si>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</si>
  <si>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</si>
  <si>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</si>
  <si>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</si>
  <si>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</si>
  <si>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</si>
  <si>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</si>
  <si>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</si>
  <si>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</si>
  <si>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</si>
  <si>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</si>
  <si>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</si>
  <si>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</si>
  <si>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</si>
  <si>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</si>
  <si>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</si>
  <si>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</si>
  <si>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</si>
  <si>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</si>
  <si>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</si>
  <si>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</si>
  <si>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</si>
  <si>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</si>
  <si>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</si>
  <si>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</si>
  <si>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</si>
  <si>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</si>
  <si>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</si>
  <si>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</si>
  <si>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</si>
  <si>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</si>
  <si>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</si>
  <si>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</si>
  <si>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</si>
  <si>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</si>
  <si>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</si>
  <si>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</si>
  <si>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</si>
  <si>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</si>
  <si>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</si>
  <si>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</si>
  <si>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</si>
  <si>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</si>
  <si>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</si>
  <si>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</si>
  <si>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</si>
  <si>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</si>
  <si>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</si>
  <si>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</si>
  <si>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</si>
  <si>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</si>
  <si>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</si>
  <si>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</si>
  <si>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</si>
  <si>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</si>
  <si>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</si>
  <si>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</si>
  <si>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</si>
  <si>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</si>
  <si>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</si>
  <si>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</si>
  <si>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</si>
  <si>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</si>
  <si>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</si>
  <si>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</si>
  <si>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</si>
  <si>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</si>
  <si>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</si>
  <si>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</si>
  <si>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</si>
  <si>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Meridian Health Plan of Michigan, Inc.</t>
  </si>
  <si>
    <t>2015</t>
  </si>
  <si>
    <t>777 Woodward Avenue Detroit, MI 48226</t>
  </si>
  <si>
    <t>383253977</t>
  </si>
  <si>
    <t>708</t>
  </si>
  <si>
    <t>n/a</t>
  </si>
  <si>
    <t>Medical and Pharmaceutical Claims</t>
  </si>
  <si>
    <t>Medical Expenses total is based on the amounts paid and incurred for provision of health care services of the respective line of business during the reporting year.</t>
  </si>
  <si>
    <t>Pharmaceutical expense is based on the presciption drugs filled by enrollees of the respective line of business during the reporting year.</t>
  </si>
  <si>
    <t>Federal Taxes</t>
  </si>
  <si>
    <t>Expense total is based on the premiums earned and tax provisions for the reporting year by line of business</t>
  </si>
  <si>
    <t>State Taxes</t>
  </si>
  <si>
    <t>Expense total is based  on the premiums earned and tax provisions for the reporting year by line of business</t>
  </si>
  <si>
    <t>None</t>
  </si>
  <si>
    <t>Transitional Reinsurance Program Contributions</t>
  </si>
  <si>
    <t>The expense total represents the actual Transitional Reinsurance Payment for the 2015 reporting year</t>
  </si>
  <si>
    <t>Other Federal and State regulatory authority licenses and fees</t>
  </si>
  <si>
    <t>The expense total represents user fees paid to federally faciliated marketplace in the 2015 reporting year</t>
  </si>
  <si>
    <t>Adherence Outreach Calls - Care Coordination Program</t>
  </si>
  <si>
    <t>Member Event Outreach, Self Management Programs, Disease Management program</t>
  </si>
  <si>
    <t>Member &amp; Provider Mailings on Preventive Care, telephonic education, members services live person phone campaigns</t>
  </si>
  <si>
    <t>Supplemental Data Entry</t>
  </si>
  <si>
    <t>Hybrid Tool Data Entry</t>
  </si>
  <si>
    <t>Medical Record Abstraction</t>
  </si>
  <si>
    <t>Accreditation</t>
  </si>
  <si>
    <t>Quality Improvement Expenses are allocated based on the respective line of business's portion of salaries multiplied by the percentage of time spent on the quality improvement activities.</t>
  </si>
  <si>
    <t>Medication Adherence outreach</t>
  </si>
  <si>
    <t>Medication Therapy Management Program</t>
  </si>
  <si>
    <t>Transition of Care Program/Quality Improvement Project</t>
  </si>
  <si>
    <t>Post Discharge Follw uo Call Program</t>
  </si>
  <si>
    <t>Provider Coaching and Education Program</t>
  </si>
  <si>
    <t>Monitoring of Patient Safety Plan Performance</t>
  </si>
  <si>
    <t>Hospital Care Coordination</t>
  </si>
  <si>
    <t>Quality of Care Grievance Monitoring</t>
  </si>
  <si>
    <t>HRA Process</t>
  </si>
  <si>
    <t>Chronic Care Improvement Mailings</t>
  </si>
  <si>
    <t>Wellness Events - Tobacco Cessation Program, Weight Watchers</t>
  </si>
  <si>
    <t xml:space="preserve">Home Testing Kits </t>
  </si>
  <si>
    <t>Incentives for Attending Member Events</t>
  </si>
  <si>
    <t>CAHPS Administration</t>
  </si>
  <si>
    <t>HOS Administration</t>
  </si>
  <si>
    <t>CCIP &amp; QIP Reporting to CMS</t>
  </si>
  <si>
    <t>Claims adjustment expenses</t>
  </si>
  <si>
    <t>Expenses are allocated based on the percentage of revenue earned for the respective line of business and general and administrative expense incurred during the reporting year</t>
  </si>
  <si>
    <t>Salaries and wages</t>
  </si>
  <si>
    <t>Expense total is based on the salaries and the percentage of time spent on the respective line of business.</t>
  </si>
  <si>
    <t>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</si>
</sst>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Claims'!D13+'Pt 2 Premium and Claims'!D14+'Pt 2 Premium and Claims'!D15+'Pt 2 Premium and Claims'!D16+'Pt 2 Premium and Claims'!D17</f>
        <v>122165.33</v>
      </c>
      <c r="E5" s="212">
        <f>'Pt 2 Premium and Claims'!E5+'Pt 2 Premium and Claims'!E6-'Pt 2 Premium and Claims'!E7-'Pt 2 Premium and Claims'!E13+'Pt 2 Premium and Claims'!E14+'Pt 2 Premium and Claims'!E15+'Pt 2 Premium and Claims'!E16+'Pt 2 Premium and Claims'!E17</f>
        <v>103791</v>
      </c>
      <c r="F5" s="213">
        <v>0</v>
      </c>
      <c r="G5" s="213">
        <v>0</v>
      </c>
      <c r="H5" s="213">
        <v>0</v>
      </c>
      <c r="I5" s="212">
        <f>'Pt 2 Premium and Claims'!I5+'Pt 2 Premium and Claims'!I6-'Pt 2 Premium and Claims'!I7-'Pt 2 Premium and Claims'!I13+'Pt 2 Premium and Claims'!I14+'Pt 2 Premium and Claims'!I15+'Pt 2 Premium and Claims'!I16</f>
        <v>164609</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f>'Pt 2 Premium and Claims'!AS5+'Pt 2 Premium and Claims'!AS6-'Pt 2 Premium and Claims'!AS7-'Pt 2 Premium and Claims'!AS13+'Pt 2 Premium and Claims'!AS14</f>
        <v>2011812532</v>
      </c>
      <c r="AT5" s="214"/>
      <c r="AU5" s="212">
        <f>'Pt 2 Premium and Claims'!AU5+'Pt 2 Premium and Claims'!AU6-'Pt 2 Premium and Claims'!AU7-'Pt 2 Premium and Claims'!AU13+'Pt 2 Premium and Claims'!AU14</f>
        <v>104413266</v>
      </c>
      <c r="AV5" s="215"/>
      <c r="AW5" s="296"/>
    </row>
    <row r="6" spans="1:49" x14ac:dyDescent="0.2">
      <c r="B6" s="239" t="s">
        <v>223</v>
      </c>
      <c r="C6" s="203" t="s">
        <v>12</v>
      </c>
      <c r="D6" s="216">
        <v>0</v>
      </c>
      <c r="E6" s="217">
        <v>0</v>
      </c>
      <c r="F6" s="217">
        <v>0</v>
      </c>
      <c r="G6" s="218">
        <v>0</v>
      </c>
      <c r="H6" s="218">
        <v>0</v>
      </c>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v>0</v>
      </c>
      <c r="G7" s="217">
        <v>0</v>
      </c>
      <c r="H7" s="217">
        <v>0</v>
      </c>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-2623474</v>
      </c>
      <c r="AT8" s="220"/>
      <c r="AU8" s="220">
        <v>-68452</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81395</v>
      </c>
      <c r="E12" s="212">
        <f>'Pt 2 Premium and Claims'!E54</f>
        <v>45897.52</v>
      </c>
      <c r="F12" s="213">
        <v>0</v>
      </c>
      <c r="G12" s="213">
        <v>0</v>
      </c>
      <c r="H12" s="213">
        <v>0</v>
      </c>
      <c r="I12" s="212">
        <f>E12</f>
        <v>45897.52</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f>'Pt 2 Premium and Claims'!AS54</f>
        <v>1660521540</v>
      </c>
      <c r="AT12" s="214"/>
      <c r="AU12" s="212">
        <f>'Pt 2 Premium and Claims'!AU54</f>
        <v>97300517</v>
      </c>
      <c r="AV12" s="291"/>
      <c r="AW12" s="296"/>
    </row>
    <row r="13" spans="1:49" ht="25.5" x14ac:dyDescent="0.2">
      <c r="B13" s="239" t="s">
        <v>230</v>
      </c>
      <c r="C13" s="203" t="s">
        <v>37</v>
      </c>
      <c r="D13" s="216">
        <v>12515</v>
      </c>
      <c r="E13" s="217">
        <v>13714</v>
      </c>
      <c r="F13" s="217">
        <v>0</v>
      </c>
      <c r="G13" s="268"/>
      <c r="H13" s="269"/>
      <c r="I13" s="216">
        <v>13714</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209084640</v>
      </c>
      <c r="AT13" s="220"/>
      <c r="AU13" s="220">
        <v>19505882</v>
      </c>
      <c r="AV13" s="290"/>
      <c r="AW13" s="297"/>
    </row>
    <row r="14" spans="1:49" ht="25.5" x14ac:dyDescent="0.2">
      <c r="B14" s="239" t="s">
        <v>231</v>
      </c>
      <c r="C14" s="203" t="s">
        <v>6</v>
      </c>
      <c r="D14" s="216">
        <v>439</v>
      </c>
      <c r="E14" s="217">
        <v>718</v>
      </c>
      <c r="F14" s="217">
        <v>0</v>
      </c>
      <c r="G14" s="267"/>
      <c r="H14" s="270"/>
      <c r="I14" s="216">
        <v>718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2600125</v>
      </c>
      <c r="AT14" s="220"/>
      <c r="AU14" s="220">
        <v>1058425</v>
      </c>
      <c r="AV14" s="290"/>
      <c r="AW14" s="297"/>
    </row>
    <row r="15" spans="1:49" ht="38.25" x14ac:dyDescent="0.2">
      <c r="B15" s="239" t="s">
        <v>232</v>
      </c>
      <c r="C15" s="203" t="s">
        <v>7</v>
      </c>
      <c r="D15" s="216">
        <v>0</v>
      </c>
      <c r="E15" s="217">
        <v>0</v>
      </c>
      <c r="F15" s="217">
        <v>0</v>
      </c>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-4188094</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f>'Pt 2 Premium and Claims'!D55</f>
        <v>0</v>
      </c>
      <c r="E22" s="399">
        <f>'Pt 2 Premium and Claims'!E55</f>
        <v>0</v>
      </c>
      <c r="F22" s="222">
        <v>0</v>
      </c>
      <c r="G22" s="222">
        <v>0</v>
      </c>
      <c r="H22" s="222">
        <v>0</v>
      </c>
      <c r="I22" s="221">
        <f>E22</f>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f>'Pt 2 Premium and Claims'!AS55</f>
        <v>0</v>
      </c>
      <c r="AT22" s="223"/>
      <c r="AU22" s="399">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3320</v>
      </c>
      <c r="E25" s="217">
        <v>3320</v>
      </c>
      <c r="F25" s="217">
        <v>0</v>
      </c>
      <c r="G25" s="217">
        <v>0</v>
      </c>
      <c r="H25" s="217">
        <v>0</v>
      </c>
      <c r="I25" s="216">
        <v>3320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17384573</v>
      </c>
      <c r="AT25" s="220"/>
      <c r="AU25" s="220">
        <v>0</v>
      </c>
      <c r="AV25" s="220"/>
      <c r="AW25" s="297"/>
    </row>
    <row r="26" spans="1:49" s="5" customFormat="1" x14ac:dyDescent="0.2">
      <c r="A26" s="35"/>
      <c r="B26" s="242" t="s">
        <v>242</v>
      </c>
      <c r="C26" s="203"/>
      <c r="D26" s="216">
        <v>0</v>
      </c>
      <c r="E26" s="217">
        <v>61</v>
      </c>
      <c r="F26" s="217">
        <v>0</v>
      </c>
      <c r="G26" s="217">
        <v>0</v>
      </c>
      <c r="H26" s="217">
        <v>0</v>
      </c>
      <c r="I26" s="216">
        <v>61</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0</v>
      </c>
      <c r="E27" s="217">
        <v>1941</v>
      </c>
      <c r="F27" s="217">
        <v>0</v>
      </c>
      <c r="G27" s="217">
        <v>0</v>
      </c>
      <c r="H27" s="217">
        <v>0</v>
      </c>
      <c r="I27" s="216">
        <v>1941</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26972234</v>
      </c>
      <c r="AT27" s="220"/>
      <c r="AU27" s="220">
        <v>581406</v>
      </c>
      <c r="AV27" s="293"/>
      <c r="AW27" s="297"/>
    </row>
    <row r="28" spans="1:49" s="5" customFormat="1" x14ac:dyDescent="0.2">
      <c r="A28" s="35"/>
      <c r="B28" s="242" t="s">
        <v>244</v>
      </c>
      <c r="C28" s="203"/>
      <c r="D28" s="216">
        <v>0</v>
      </c>
      <c r="E28" s="217">
        <v>0</v>
      </c>
      <c r="F28" s="217">
        <v>0</v>
      </c>
      <c r="G28" s="217">
        <v>0</v>
      </c>
      <c r="H28" s="217">
        <v>0</v>
      </c>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3619</v>
      </c>
      <c r="E30" s="217">
        <v>3619</v>
      </c>
      <c r="F30" s="217">
        <v>0</v>
      </c>
      <c r="G30" s="217">
        <v>0</v>
      </c>
      <c r="H30" s="217">
        <v>0</v>
      </c>
      <c r="I30" s="216">
        <v>3619</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125949060</v>
      </c>
      <c r="AT30" s="220"/>
      <c r="AU30" s="220">
        <v>189264</v>
      </c>
      <c r="AV30" s="220"/>
      <c r="AW30" s="297"/>
    </row>
    <row r="31" spans="1:49" x14ac:dyDescent="0.2">
      <c r="B31" s="242" t="s">
        <v>247</v>
      </c>
      <c r="C31" s="203"/>
      <c r="D31" s="216">
        <v>0</v>
      </c>
      <c r="E31" s="217">
        <v>0</v>
      </c>
      <c r="F31" s="217">
        <v>0</v>
      </c>
      <c r="G31" s="217">
        <v>0</v>
      </c>
      <c r="H31" s="217">
        <v>0</v>
      </c>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9" customHeight="1" x14ac:dyDescent="0.2">
      <c r="B32" s="242" t="s">
        <v>248</v>
      </c>
      <c r="C32" s="203" t="s">
        <v>82</v>
      </c>
      <c r="D32" s="216">
        <v>0</v>
      </c>
      <c r="E32" s="217">
        <v>0</v>
      </c>
      <c r="F32" s="217">
        <v>0</v>
      </c>
      <c r="G32" s="217">
        <v>0</v>
      </c>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1186</v>
      </c>
      <c r="E34" s="217">
        <v>1186</v>
      </c>
      <c r="F34" s="217">
        <v>0</v>
      </c>
      <c r="G34" s="217">
        <v>0</v>
      </c>
      <c r="H34" s="217">
        <v>0</v>
      </c>
      <c r="I34" s="216">
        <v>1186</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3245</v>
      </c>
      <c r="E35" s="217">
        <v>3245</v>
      </c>
      <c r="F35" s="217">
        <v>0</v>
      </c>
      <c r="G35" s="217">
        <v>0</v>
      </c>
      <c r="H35" s="217">
        <v>0</v>
      </c>
      <c r="I35" s="216">
        <v>3245</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2016</v>
      </c>
      <c r="E37" s="225">
        <v>2016</v>
      </c>
      <c r="F37" s="225">
        <v>0</v>
      </c>
      <c r="G37" s="225">
        <v>0</v>
      </c>
      <c r="H37" s="225">
        <v>0</v>
      </c>
      <c r="I37" s="224">
        <v>2016</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8327403</v>
      </c>
      <c r="AT37" s="226"/>
      <c r="AU37" s="226">
        <v>1083223</v>
      </c>
      <c r="AV37" s="226"/>
      <c r="AW37" s="296"/>
    </row>
    <row r="38" spans="1:49" x14ac:dyDescent="0.2">
      <c r="B38" s="239" t="s">
        <v>254</v>
      </c>
      <c r="C38" s="203" t="s">
        <v>16</v>
      </c>
      <c r="D38" s="216">
        <v>291</v>
      </c>
      <c r="E38" s="217">
        <v>291</v>
      </c>
      <c r="F38" s="217">
        <v>0</v>
      </c>
      <c r="G38" s="217">
        <v>0</v>
      </c>
      <c r="H38" s="217">
        <v>0</v>
      </c>
      <c r="I38" s="216">
        <v>291</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677468</v>
      </c>
      <c r="AT38" s="220"/>
      <c r="AU38" s="220">
        <v>242655</v>
      </c>
      <c r="AV38" s="220"/>
      <c r="AW38" s="297"/>
    </row>
    <row r="39" spans="1:49" x14ac:dyDescent="0.2">
      <c r="B39" s="242" t="s">
        <v>255</v>
      </c>
      <c r="C39" s="203" t="s">
        <v>17</v>
      </c>
      <c r="D39" s="216">
        <v>281</v>
      </c>
      <c r="E39" s="217">
        <v>281</v>
      </c>
      <c r="F39" s="217">
        <v>0</v>
      </c>
      <c r="G39" s="217">
        <v>0</v>
      </c>
      <c r="H39" s="217">
        <v>0</v>
      </c>
      <c r="I39" s="216">
        <v>281</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657518</v>
      </c>
      <c r="AT39" s="220"/>
      <c r="AU39" s="220">
        <v>206210</v>
      </c>
      <c r="AV39" s="220"/>
      <c r="AW39" s="297"/>
    </row>
    <row r="40" spans="1:49" x14ac:dyDescent="0.2">
      <c r="B40" s="242" t="s">
        <v>256</v>
      </c>
      <c r="C40" s="203" t="s">
        <v>38</v>
      </c>
      <c r="D40" s="216">
        <v>336</v>
      </c>
      <c r="E40" s="217">
        <v>336</v>
      </c>
      <c r="F40" s="217">
        <v>0</v>
      </c>
      <c r="G40" s="217">
        <v>0</v>
      </c>
      <c r="H40" s="217">
        <v>0</v>
      </c>
      <c r="I40" s="216">
        <v>336</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1920584</v>
      </c>
      <c r="AT40" s="220"/>
      <c r="AU40" s="220">
        <v>285871</v>
      </c>
      <c r="AV40" s="220"/>
      <c r="AW40" s="297"/>
    </row>
    <row r="41" spans="1:49" s="5" customFormat="1" ht="25.5" x14ac:dyDescent="0.2">
      <c r="A41" s="35"/>
      <c r="B41" s="242" t="s">
        <v>257</v>
      </c>
      <c r="C41" s="203" t="s">
        <v>129</v>
      </c>
      <c r="D41" s="216">
        <v>507</v>
      </c>
      <c r="E41" s="217">
        <v>507</v>
      </c>
      <c r="F41" s="217">
        <v>0</v>
      </c>
      <c r="G41" s="217">
        <v>0</v>
      </c>
      <c r="H41" s="217">
        <v>0</v>
      </c>
      <c r="I41" s="216">
        <v>507</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1276065</v>
      </c>
      <c r="AT41" s="220"/>
      <c r="AU41" s="220">
        <v>57138</v>
      </c>
      <c r="AV41" s="220"/>
      <c r="AW41" s="297"/>
    </row>
    <row r="42" spans="1:49" s="5" customFormat="1" ht="24.95" customHeight="1" x14ac:dyDescent="0.2">
      <c r="A42" s="35"/>
      <c r="B42" s="239" t="s">
        <v>258</v>
      </c>
      <c r="C42" s="203" t="s">
        <v>87</v>
      </c>
      <c r="D42" s="216">
        <v>0</v>
      </c>
      <c r="E42" s="217">
        <v>0</v>
      </c>
      <c r="F42" s="217">
        <v>0</v>
      </c>
      <c r="G42" s="217">
        <v>0</v>
      </c>
      <c r="H42" s="217">
        <v>0</v>
      </c>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v>0</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c r="AU44" s="226">
        <v>0</v>
      </c>
      <c r="AV44" s="226"/>
      <c r="AW44" s="296"/>
    </row>
    <row r="45" spans="1:49" x14ac:dyDescent="0.2">
      <c r="B45" s="245" t="s">
        <v>261</v>
      </c>
      <c r="C45" s="203" t="s">
        <v>19</v>
      </c>
      <c r="D45" s="216">
        <v>446</v>
      </c>
      <c r="E45" s="217">
        <v>446</v>
      </c>
      <c r="F45" s="217">
        <v>0</v>
      </c>
      <c r="G45" s="217">
        <v>0</v>
      </c>
      <c r="H45" s="217">
        <v>0</v>
      </c>
      <c r="I45" s="216">
        <v>446</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8031216</v>
      </c>
      <c r="AT45" s="220"/>
      <c r="AU45" s="220">
        <v>406419</v>
      </c>
      <c r="AV45" s="220"/>
      <c r="AW45" s="297"/>
    </row>
    <row r="46" spans="1:49" x14ac:dyDescent="0.2">
      <c r="B46" s="245" t="s">
        <v>262</v>
      </c>
      <c r="C46" s="203" t="s">
        <v>20</v>
      </c>
      <c r="D46" s="216">
        <v>353</v>
      </c>
      <c r="E46" s="217">
        <v>353</v>
      </c>
      <c r="F46" s="217">
        <v>0</v>
      </c>
      <c r="G46" s="217">
        <v>0</v>
      </c>
      <c r="H46" s="217">
        <v>0</v>
      </c>
      <c r="I46" s="216">
        <v>353</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93127904</v>
      </c>
      <c r="AT46" s="220"/>
      <c r="AU46" s="220">
        <v>1819637</v>
      </c>
      <c r="AV46" s="220"/>
      <c r="AW46" s="297"/>
    </row>
    <row r="47" spans="1:49" x14ac:dyDescent="0.2">
      <c r="B47" s="245" t="s">
        <v>263</v>
      </c>
      <c r="C47" s="203" t="s">
        <v>21</v>
      </c>
      <c r="D47" s="216">
        <v>0</v>
      </c>
      <c r="E47" s="217">
        <v>0</v>
      </c>
      <c r="F47" s="217">
        <v>0</v>
      </c>
      <c r="G47" s="217">
        <v>0</v>
      </c>
      <c r="H47" s="217">
        <v>0</v>
      </c>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0</v>
      </c>
      <c r="F50" s="217">
        <v>0</v>
      </c>
      <c r="G50" s="217">
        <v>0</v>
      </c>
      <c r="H50" s="217">
        <v>0</v>
      </c>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112</v>
      </c>
      <c r="E51" s="217">
        <v>112</v>
      </c>
      <c r="F51" s="217">
        <v>0</v>
      </c>
      <c r="G51" s="217">
        <v>0</v>
      </c>
      <c r="H51" s="217">
        <v>0</v>
      </c>
      <c r="I51" s="216">
        <v>112</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63432067</v>
      </c>
      <c r="AT51" s="220"/>
      <c r="AU51" s="220">
        <v>2406875</v>
      </c>
      <c r="AV51" s="220"/>
      <c r="AW51" s="297"/>
    </row>
    <row r="52" spans="2:49" ht="25.5" x14ac:dyDescent="0.2">
      <c r="B52" s="239" t="s">
        <v>267</v>
      </c>
      <c r="C52" s="203" t="s">
        <v>89</v>
      </c>
      <c r="D52" s="216">
        <v>0</v>
      </c>
      <c r="E52" s="217">
        <v>0</v>
      </c>
      <c r="F52" s="217">
        <v>0</v>
      </c>
      <c r="G52" s="217">
        <v>0</v>
      </c>
      <c r="H52" s="217">
        <v>0</v>
      </c>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v>0</v>
      </c>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v>
      </c>
      <c r="E56" s="229">
        <v>28</v>
      </c>
      <c r="F56" s="229">
        <v>0</v>
      </c>
      <c r="G56" s="229">
        <v>0</v>
      </c>
      <c r="H56" s="229">
        <v>0</v>
      </c>
      <c r="I56" s="228">
        <v>28</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444528</v>
      </c>
      <c r="AT56" s="230"/>
      <c r="AU56" s="230">
        <v>10743</v>
      </c>
      <c r="AV56" s="230"/>
      <c r="AW56" s="288"/>
    </row>
    <row r="57" spans="2:49" x14ac:dyDescent="0.2">
      <c r="B57" s="245" t="s">
        <v>272</v>
      </c>
      <c r="C57" s="203" t="s">
        <v>25</v>
      </c>
      <c r="D57" s="231">
        <v>28</v>
      </c>
      <c r="E57" s="232">
        <v>28</v>
      </c>
      <c r="F57" s="232">
        <v>0</v>
      </c>
      <c r="G57" s="232">
        <v>0</v>
      </c>
      <c r="H57" s="232">
        <v>0</v>
      </c>
      <c r="I57" s="231">
        <v>28</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444528</v>
      </c>
      <c r="AT57" s="233"/>
      <c r="AU57" s="233">
        <v>10743</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288</v>
      </c>
      <c r="E59" s="232">
        <v>288</v>
      </c>
      <c r="F59" s="232">
        <v>0</v>
      </c>
      <c r="G59" s="232">
        <v>0</v>
      </c>
      <c r="H59" s="232">
        <v>0</v>
      </c>
      <c r="I59" s="231">
        <v>288</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5039378</v>
      </c>
      <c r="AT59" s="233"/>
      <c r="AU59" s="233">
        <v>113644</v>
      </c>
      <c r="AV59" s="233"/>
      <c r="AW59" s="289"/>
    </row>
    <row r="60" spans="2:49" x14ac:dyDescent="0.2">
      <c r="B60" s="245" t="s">
        <v>275</v>
      </c>
      <c r="C60" s="203"/>
      <c r="D60" s="234">
        <f>D59/12</f>
        <v>24</v>
      </c>
      <c r="E60" s="234">
        <f>E59/12</f>
        <v>24</v>
      </c>
      <c r="F60" s="235">
        <v>0</v>
      </c>
      <c r="G60" s="235">
        <v>0</v>
      </c>
      <c r="H60" s="235">
        <v>0</v>
      </c>
      <c r="I60" s="234">
        <f>E60</f>
        <v>24</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f>AS59/12</f>
        <v>419948.16666666669</v>
      </c>
      <c r="AT60" s="236"/>
      <c r="AU60" s="236">
        <f>AU59/12</f>
        <v>9470.3333333333339</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51" yWindow="18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B104857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122165.33</v>
      </c>
      <c r="E5" s="326">
        <v>121830</v>
      </c>
      <c r="F5" s="326">
        <v>0</v>
      </c>
      <c r="G5" s="328">
        <v>0</v>
      </c>
      <c r="H5" s="328">
        <v>0</v>
      </c>
      <c r="I5" s="325">
        <v>121830</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2011812532</v>
      </c>
      <c r="AT5" s="327"/>
      <c r="AU5" s="327">
        <v>104413266</v>
      </c>
      <c r="AV5" s="369"/>
      <c r="AW5" s="373"/>
    </row>
    <row r="6" spans="2:49" x14ac:dyDescent="0.2">
      <c r="B6" s="343" t="s">
        <v>278</v>
      </c>
      <c r="C6" s="331" t="s">
        <v>8</v>
      </c>
      <c r="D6" s="318">
        <v>0</v>
      </c>
      <c r="E6" s="319">
        <v>0</v>
      </c>
      <c r="F6" s="319">
        <v>0</v>
      </c>
      <c r="G6" s="320">
        <v>0</v>
      </c>
      <c r="H6" s="320">
        <v>0</v>
      </c>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v>0</v>
      </c>
      <c r="G7" s="320">
        <v>0</v>
      </c>
      <c r="H7" s="320">
        <v>0</v>
      </c>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-11520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0</v>
      </c>
      <c r="AV9" s="368"/>
      <c r="AW9" s="374"/>
    </row>
    <row r="10" spans="2:49" ht="25.5" x14ac:dyDescent="0.2">
      <c r="B10" s="345" t="s">
        <v>83</v>
      </c>
      <c r="C10" s="331"/>
      <c r="D10" s="365"/>
      <c r="E10" s="319">
        <v>0</v>
      </c>
      <c r="F10" s="319">
        <v>0</v>
      </c>
      <c r="G10" s="319">
        <v>0</v>
      </c>
      <c r="H10" s="319">
        <v>0</v>
      </c>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404601</v>
      </c>
      <c r="AT11" s="321"/>
      <c r="AU11" s="321">
        <v>0</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0</v>
      </c>
      <c r="AV12" s="368"/>
      <c r="AW12" s="374"/>
    </row>
    <row r="13" spans="2:49" x14ac:dyDescent="0.2">
      <c r="B13" s="343" t="s">
        <v>283</v>
      </c>
      <c r="C13" s="331" t="s">
        <v>10</v>
      </c>
      <c r="D13" s="318">
        <v>0</v>
      </c>
      <c r="E13" s="319">
        <v>0</v>
      </c>
      <c r="F13" s="319">
        <v>0</v>
      </c>
      <c r="G13" s="319">
        <v>0</v>
      </c>
      <c r="H13" s="319">
        <v>0</v>
      </c>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v>0</v>
      </c>
      <c r="G14" s="319">
        <v>0</v>
      </c>
      <c r="H14" s="319">
        <v>0</v>
      </c>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42779</v>
      </c>
      <c r="F16" s="319">
        <v>0</v>
      </c>
      <c r="G16" s="319">
        <v>0</v>
      </c>
      <c r="H16" s="319">
        <v>0</v>
      </c>
      <c r="I16" s="318">
        <v>42779</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-60818</v>
      </c>
      <c r="F17" s="361">
        <v>0</v>
      </c>
      <c r="G17" s="361">
        <v>0</v>
      </c>
      <c r="H17" s="319">
        <v>0</v>
      </c>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1186.1099999999999</v>
      </c>
      <c r="E18" s="319">
        <f>D18</f>
        <v>1186.1099999999999</v>
      </c>
      <c r="F18" s="319">
        <v>0</v>
      </c>
      <c r="G18" s="319">
        <v>0</v>
      </c>
      <c r="H18" s="319">
        <v>0</v>
      </c>
      <c r="I18" s="318">
        <f>D18</f>
        <v>1186.1099999999999</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2623474</v>
      </c>
      <c r="AT18" s="321"/>
      <c r="AU18" s="321">
        <v>68452</v>
      </c>
      <c r="AV18" s="368"/>
      <c r="AW18" s="374"/>
    </row>
    <row r="19" spans="2:49" ht="25.5" x14ac:dyDescent="0.2">
      <c r="B19" s="345" t="s">
        <v>306</v>
      </c>
      <c r="C19" s="331"/>
      <c r="D19" s="318">
        <v>0</v>
      </c>
      <c r="E19" s="319">
        <v>0</v>
      </c>
      <c r="F19" s="319">
        <v>0</v>
      </c>
      <c r="G19" s="319">
        <v>0</v>
      </c>
      <c r="H19" s="319">
        <v>0</v>
      </c>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v>94693</v>
      </c>
      <c r="E20" s="319">
        <v>94693</v>
      </c>
      <c r="F20" s="319">
        <v>0</v>
      </c>
      <c r="G20" s="319">
        <v>0</v>
      </c>
      <c r="H20" s="319">
        <v>0</v>
      </c>
      <c r="I20" s="318">
        <v>94693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26622</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1570198645</v>
      </c>
      <c r="AT23" s="321"/>
      <c r="AU23" s="321">
        <v>78698193</v>
      </c>
      <c r="AV23" s="368"/>
      <c r="AW23" s="374"/>
    </row>
    <row r="24" spans="2:49" ht="28.5" customHeight="1" x14ac:dyDescent="0.2">
      <c r="B24" s="345" t="s">
        <v>114</v>
      </c>
      <c r="C24" s="331"/>
      <c r="D24" s="365"/>
      <c r="E24" s="319">
        <v>45615.519999999997</v>
      </c>
      <c r="F24" s="319">
        <v>0</v>
      </c>
      <c r="G24" s="319">
        <v>0</v>
      </c>
      <c r="H24" s="319">
        <v>0</v>
      </c>
      <c r="I24" s="318">
        <v>45616</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108199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271292680</v>
      </c>
      <c r="AT26" s="321"/>
      <c r="AU26" s="321">
        <v>22278432</v>
      </c>
      <c r="AV26" s="368"/>
      <c r="AW26" s="374"/>
    </row>
    <row r="27" spans="2:49" s="5" customFormat="1" ht="25.5" x14ac:dyDescent="0.2">
      <c r="B27" s="345" t="s">
        <v>85</v>
      </c>
      <c r="C27" s="331"/>
      <c r="D27" s="365"/>
      <c r="E27" s="319">
        <v>1000</v>
      </c>
      <c r="F27" s="319">
        <v>0</v>
      </c>
      <c r="G27" s="319">
        <v>0</v>
      </c>
      <c r="H27" s="319">
        <v>0</v>
      </c>
      <c r="I27" s="318">
        <v>1000</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41467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192161349</v>
      </c>
      <c r="AT28" s="321"/>
      <c r="AU28" s="321">
        <v>3974718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v>0</v>
      </c>
      <c r="G31" s="319">
        <v>0</v>
      </c>
      <c r="H31" s="319">
        <v>0</v>
      </c>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v>0</v>
      </c>
      <c r="G35" s="319">
        <v>0</v>
      </c>
      <c r="H35" s="319">
        <v>0</v>
      </c>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-11520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404601</v>
      </c>
      <c r="AT38" s="321"/>
      <c r="AU38" s="321">
        <v>0</v>
      </c>
      <c r="AV38" s="368"/>
      <c r="AW38" s="374"/>
    </row>
    <row r="39" spans="2:49" ht="28.15" customHeight="1" x14ac:dyDescent="0.2">
      <c r="B39" s="345" t="s">
        <v>86</v>
      </c>
      <c r="C39" s="331"/>
      <c r="D39" s="365"/>
      <c r="E39" s="319">
        <v>0</v>
      </c>
      <c r="F39" s="319">
        <v>0</v>
      </c>
      <c r="G39" s="319">
        <v>0</v>
      </c>
      <c r="H39" s="319">
        <v>0</v>
      </c>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0</v>
      </c>
      <c r="AV41" s="368"/>
      <c r="AW41" s="374"/>
    </row>
    <row r="42" spans="2:49" s="5" customFormat="1" ht="25.5" x14ac:dyDescent="0.2">
      <c r="B42" s="345" t="s">
        <v>92</v>
      </c>
      <c r="C42" s="331"/>
      <c r="D42" s="365"/>
      <c r="E42" s="319">
        <v>0</v>
      </c>
      <c r="F42" s="319">
        <v>0</v>
      </c>
      <c r="G42" s="319">
        <v>0</v>
      </c>
      <c r="H42" s="319">
        <v>0</v>
      </c>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11236383</v>
      </c>
      <c r="AT45" s="321"/>
      <c r="AU45" s="321">
        <v>94537</v>
      </c>
      <c r="AV45" s="368"/>
      <c r="AW45" s="374"/>
    </row>
    <row r="46" spans="2:49" x14ac:dyDescent="0.2">
      <c r="B46" s="343" t="s">
        <v>116</v>
      </c>
      <c r="C46" s="331" t="s">
        <v>31</v>
      </c>
      <c r="D46" s="318">
        <v>0</v>
      </c>
      <c r="E46" s="319">
        <v>0</v>
      </c>
      <c r="F46" s="319">
        <v>0</v>
      </c>
      <c r="G46" s="319">
        <v>0</v>
      </c>
      <c r="H46" s="319">
        <v>0</v>
      </c>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2590451</v>
      </c>
      <c r="AT46" s="321"/>
      <c r="AU46" s="321">
        <v>66143</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2357151</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439</v>
      </c>
      <c r="E49" s="319">
        <v>718</v>
      </c>
      <c r="F49" s="319">
        <v>0</v>
      </c>
      <c r="G49" s="319">
        <v>0</v>
      </c>
      <c r="H49" s="319">
        <v>0</v>
      </c>
      <c r="I49" s="318">
        <v>718</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1835252</v>
      </c>
      <c r="AT49" s="321"/>
      <c r="AU49" s="321">
        <v>996962</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1152532</v>
      </c>
      <c r="AT50" s="321"/>
      <c r="AU50" s="321">
        <v>1134892</v>
      </c>
      <c r="AV50" s="368"/>
      <c r="AW50" s="374"/>
    </row>
    <row r="51" spans="2:49" s="5" customFormat="1" x14ac:dyDescent="0.2">
      <c r="B51" s="343" t="s">
        <v>299</v>
      </c>
      <c r="C51" s="331"/>
      <c r="D51" s="318">
        <v>0</v>
      </c>
      <c r="E51" s="319">
        <v>0</v>
      </c>
      <c r="F51" s="319">
        <v>0</v>
      </c>
      <c r="G51" s="319">
        <v>0</v>
      </c>
      <c r="H51" s="319">
        <v>0</v>
      </c>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v>0</v>
      </c>
      <c r="G52" s="319">
        <v>0</v>
      </c>
      <c r="H52" s="319">
        <v>0</v>
      </c>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v>0</v>
      </c>
      <c r="G53" s="319">
        <v>0</v>
      </c>
      <c r="H53" s="319">
        <v>0</v>
      </c>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f>D23+D26-D28+D30-D32+D34-D36+D38+D41-D43+D45+D46-D47-D49+D50+D51+D52+D53</f>
        <v>81395</v>
      </c>
      <c r="E54" s="323">
        <f>E24+E27+E31+E35-E36+E39+E42+E45+E46-E49+E51+E52+E53</f>
        <v>45897.52</v>
      </c>
      <c r="F54" s="323">
        <v>0</v>
      </c>
      <c r="G54" s="323">
        <v>0</v>
      </c>
      <c r="H54" s="323">
        <v>0</v>
      </c>
      <c r="I54" s="322">
        <f>E54</f>
        <v>45897.52</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1660521540</v>
      </c>
      <c r="AT54" s="324"/>
      <c r="AU54" s="399">
        <f>AU23+AU26-AU28+AU30-AU32+AU34-AU36+AU38+AU41-AU43+AU45+AU46-AU47-AU49+AU50+AU51+AU52+AU53</f>
        <v>97300517</v>
      </c>
      <c r="AV54" s="368"/>
      <c r="AW54" s="374"/>
    </row>
    <row r="55" spans="2:49" ht="25.5" x14ac:dyDescent="0.2">
      <c r="B55" s="348" t="s">
        <v>493</v>
      </c>
      <c r="C55" s="335" t="s">
        <v>28</v>
      </c>
      <c r="D55" s="322">
        <f>MIN(D56,D57)</f>
        <v>0</v>
      </c>
      <c r="E55" s="399">
        <f>MIN(E56,E57)</f>
        <v>0</v>
      </c>
      <c r="F55" s="323">
        <v>0</v>
      </c>
      <c r="G55" s="323">
        <v>0</v>
      </c>
      <c r="H55" s="323">
        <v>0</v>
      </c>
      <c r="I55" s="322">
        <f>E55</f>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v>0</v>
      </c>
      <c r="G56" s="319">
        <v>0</v>
      </c>
      <c r="H56" s="319">
        <v>0</v>
      </c>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v>0</v>
      </c>
      <c r="F57" s="319">
        <v>0</v>
      </c>
      <c r="G57" s="319">
        <v>0</v>
      </c>
      <c r="H57" s="319">
        <v>0</v>
      </c>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v>0</v>
      </c>
      <c r="E58" s="354">
        <v>7311</v>
      </c>
      <c r="F58" s="354">
        <v>0</v>
      </c>
      <c r="G58" s="354">
        <v>0</v>
      </c>
      <c r="H58" s="354">
        <v>0</v>
      </c>
      <c r="I58" s="353">
        <v>36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787" yWindow="16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27" sqref="L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2868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2868</v>
      </c>
      <c r="E6" s="400">
        <f>'Pt 1 Summary of Data'!E12+'Pt 1 Summary of Data'!E22</f>
        <v>45897.52</v>
      </c>
      <c r="F6" s="400">
        <f>SUM(C6+D6+E6)</f>
        <v>48765.52</v>
      </c>
      <c r="G6" s="401">
        <f>'Pt 1 Summary of Data'!I12+'Pt 1 Summary of Data'!I22</f>
        <v>45897.52</v>
      </c>
      <c r="H6" s="397"/>
      <c r="I6" s="398"/>
      <c r="J6" s="400"/>
      <c r="K6" s="400"/>
      <c r="L6" s="401">
        <v>0</v>
      </c>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254</v>
      </c>
      <c r="E7" s="400">
        <f>'Pt 1 Summary of Data'!E37+'Pt 1 Summary of Data'!E38+'Pt 1 Summary of Data'!E39+'Pt 1 Summary of Data'!E40+'Pt 1 Summary of Data'!E41+'Pt 1 Summary of Data'!E42</f>
        <v>3431</v>
      </c>
      <c r="F7" s="400">
        <f>SUM(C7+D7+E7)</f>
        <v>3685</v>
      </c>
      <c r="G7" s="401">
        <f>'Pt 1 Summary of Data'!I37+'Pt 1 Summary of Data'!I38+'Pt 1 Summary of Data'!I39+'Pt 1 Summary of Data'!I40+'Pt 1 Summary of Data'!I41+'Pt 1 Summary of Data'!I42</f>
        <v>3431</v>
      </c>
      <c r="H7" s="397"/>
      <c r="I7" s="398"/>
      <c r="J7" s="400"/>
      <c r="K7" s="400"/>
      <c r="L7" s="401">
        <v>0</v>
      </c>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23</v>
      </c>
      <c r="E8" s="400">
        <f>'Pt 2 Premium and Claims'!E58</f>
        <v>7311</v>
      </c>
      <c r="F8" s="400">
        <f>SUM(D8+E8)</f>
        <v>7334</v>
      </c>
      <c r="G8" s="401">
        <f>'Pt 2 Premium and Claims'!I58</f>
        <v>36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f>
        <v>0</v>
      </c>
      <c r="F9" s="400">
        <f>SUM(D9+E9)</f>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-23501</v>
      </c>
      <c r="E10" s="400">
        <f>'Pt 2 Premium and Claims'!E16</f>
        <v>42779</v>
      </c>
      <c r="F10" s="400">
        <f>SUM(D10+E10)</f>
        <v>19278</v>
      </c>
      <c r="G10" s="401">
        <f>'Pt 2 Premium and Claims'!I16</f>
        <v>42779</v>
      </c>
      <c r="H10" s="443"/>
      <c r="I10" s="398"/>
      <c r="J10" s="400"/>
      <c r="K10" s="400"/>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-11520</v>
      </c>
      <c r="E11" s="400">
        <f>'Pt 2 Premium and Claims'!E17</f>
        <v>-60818</v>
      </c>
      <c r="F11" s="400">
        <f>SUM(D11+E11)</f>
        <v>-72338</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f>D6+D7-D8-D9-D10-D11</f>
        <v>38120</v>
      </c>
      <c r="E12" s="400">
        <f>E6+E7-E8-E9-E10-E11-1</f>
        <v>60055.519999999997</v>
      </c>
      <c r="F12" s="400">
        <f>F6+F7-F8-F9-F10-F11</f>
        <v>98176.51999999999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47732</v>
      </c>
      <c r="E15" s="395">
        <f>('Pt 1 Summary of Data'!E5+'Pt 1 Summary of Data'!E6+'Pt 1 Summary of Data'!E7)-(E9+E10+E11)</f>
        <v>121830</v>
      </c>
      <c r="F15" s="395">
        <f>SUM(C15+D15+E15)</f>
        <v>169562</v>
      </c>
      <c r="G15" s="396">
        <f>('Pt 1 Summary of Data'!I5+'Pt 1 Summary of Data'!I6+'Pt 1 Summary of Data'!I7)-(G9+G10)</f>
        <v>121830</v>
      </c>
      <c r="H15" s="402"/>
      <c r="I15" s="403"/>
      <c r="J15" s="395"/>
      <c r="K15" s="395"/>
      <c r="L15" s="396">
        <v>0</v>
      </c>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3416</v>
      </c>
      <c r="E16" s="400">
        <f>'Pt 1 Summary of Data'!E25+'Pt 1 Summary of Data'!E26+'Pt 1 Summary of Data'!E27+'Pt 1 Summary of Data'!E28+'Pt 1 Summary of Data'!E30+MAX('Pt 1 Summary of Data'!E31,'Pt 1 Summary of Data'!E32)+'Pt 1 Summary of Data'!E34+'Pt 1 Summary of Data'!E35</f>
        <v>13372</v>
      </c>
      <c r="F16" s="400">
        <f>SUM(C16+D16+E16)</f>
        <v>16788</v>
      </c>
      <c r="G16" s="401">
        <f>'Pt 1 Summary of Data'!I25+'Pt 1 Summary of Data'!I26+'Pt 1 Summary of Data'!I27+'Pt 1 Summary of Data'!I28+'Pt 1 Summary of Data'!I30+MAX('Pt 1 Summary of Data'!I31,'Pt 1 Summary of Data'!I32)+'Pt 1 Summary of Data'!I34+'Pt 1 Summary of Data'!I35</f>
        <v>13372</v>
      </c>
      <c r="H16" s="397"/>
      <c r="I16" s="398"/>
      <c r="J16" s="400"/>
      <c r="K16" s="400"/>
      <c r="L16" s="401">
        <v>0</v>
      </c>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f>D15-D16</f>
        <v>44316</v>
      </c>
      <c r="E17" s="400">
        <f t="shared" ref="E17" si="0">E15-E16</f>
        <v>108458</v>
      </c>
      <c r="F17" s="400">
        <f>SUM(C17+D17+E17)</f>
        <v>152774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G6+G7-G8-G9-G10+G58</f>
        <v>6513.5199999999968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'Pt 1 Summary of Data'!I44+'Pt 1 Summary of Data'!I45+'Pt 1 Summary of Data'!I46+'Pt 1 Summary of Data'!I47+'Pt 1 Summary of Data'!I49+'Pt 1 Summary of Data'!I50+'Pt 1 Summary of Data'!I51</f>
        <v>911</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101034.48000000001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G15-G19-G16-G20+1</f>
        <v>101034.48000000001</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(0.03+0.02)*(G15-G16)</f>
        <v>5422.9000000000005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(0.03*(G15-G16))</f>
        <v>3253.74</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37232.759999999995</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f>
        <v>115317.48000000001</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(0.2+0.02)*(G15-G16)+G16</f>
        <v>37232.759999999995</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G15-G25</f>
        <v>84597.24</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35063.600000000006</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101034.48000000001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115317.48000000001</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(0.2*(G15-G16)+G16)</f>
        <v>35063.600000000006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G15-G29</f>
        <v>86766.399999999994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G19/G33</f>
        <v>7.5069612200114294E-2</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-60818</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-60818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11</v>
      </c>
      <c r="E38" s="432">
        <f>'Pt 1 Summary of Data'!I60</f>
        <v>24</v>
      </c>
      <c r="F38" s="432">
        <f>(C38+D38+E38)</f>
        <v>35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0</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v>0</v>
      </c>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v>0</v>
      </c>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v>0</v>
      </c>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v>0</v>
      </c>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726" yWindow="167"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8" zoomScale="80" zoomScaleNormal="80" workbookViewId="0">
      <selection activeCell="B63" sqref="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501</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tr">
        <f>B8</f>
        <v>n/a</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tr">
        <f>B8</f>
        <v>n/a</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tr">
        <f>B8</f>
        <v>n/a</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tr">
        <f>B8</f>
        <v>n/a</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90" zoomScaleNormal="9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502</v>
      </c>
      <c r="C5" s="113"/>
      <c r="D5" s="136" t="s">
        <v>503</v>
      </c>
      <c r="E5" s="7"/>
    </row>
    <row r="6" spans="1:5" ht="35.25" customHeight="1" x14ac:dyDescent="0.2">
      <c r="B6" s="134"/>
      <c r="C6" s="113"/>
      <c r="D6" s="137" t="s">
        <v>504</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505</v>
      </c>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507</v>
      </c>
      <c r="C34" s="113"/>
      <c r="D34" s="137" t="s">
        <v>508</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509</v>
      </c>
      <c r="C41" s="113"/>
      <c r="D41" s="137" t="s">
        <v>509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510</v>
      </c>
      <c r="C48" s="113"/>
      <c r="D48" s="137" t="s">
        <v>511</v>
      </c>
      <c r="E48" s="7"/>
    </row>
    <row r="49" spans="2:5" ht="35.25" customHeight="1" x14ac:dyDescent="0.2">
      <c r="B49" s="134" t="s">
        <v>512</v>
      </c>
      <c r="C49" s="113"/>
      <c r="D49" s="137" t="s">
        <v>513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514</v>
      </c>
      <c r="C56" s="115"/>
      <c r="D56" s="137" t="s">
        <v>521</v>
      </c>
      <c r="E56" s="7"/>
    </row>
    <row r="57" spans="2:5" ht="35.25" customHeight="1" x14ac:dyDescent="0.2">
      <c r="B57" s="134" t="s">
        <v>515</v>
      </c>
      <c r="C57" s="115"/>
      <c r="D57" s="137"/>
      <c r="E57" s="7"/>
    </row>
    <row r="58" spans="2:5" ht="35.25" customHeight="1" x14ac:dyDescent="0.2">
      <c r="B58" s="134" t="s">
        <v>516</v>
      </c>
      <c r="C58" s="115"/>
      <c r="D58" s="137"/>
      <c r="E58" s="7"/>
    </row>
    <row r="59" spans="2:5" ht="35.25" customHeight="1" x14ac:dyDescent="0.2">
      <c r="B59" s="134" t="s">
        <v>517</v>
      </c>
      <c r="C59" s="115"/>
      <c r="D59" s="137"/>
      <c r="E59" s="7"/>
    </row>
    <row r="60" spans="2:5" ht="35.25" customHeight="1" x14ac:dyDescent="0.2">
      <c r="B60" s="134" t="s">
        <v>518</v>
      </c>
      <c r="C60" s="115"/>
      <c r="D60" s="137"/>
      <c r="E60" s="7"/>
    </row>
    <row r="61" spans="2:5" ht="35.25" customHeight="1" x14ac:dyDescent="0.2">
      <c r="B61" s="134" t="s">
        <v>519</v>
      </c>
      <c r="C61" s="115"/>
      <c r="D61" s="137"/>
      <c r="E61" s="7"/>
    </row>
    <row r="62" spans="2:5" ht="35.25" customHeight="1" x14ac:dyDescent="0.2">
      <c r="B62" s="134" t="s">
        <v>520</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522</v>
      </c>
      <c r="C67" s="115"/>
      <c r="D67" s="137" t="s">
        <v>521</v>
      </c>
      <c r="E67" s="7"/>
    </row>
    <row r="68" spans="2:5" ht="35.25" customHeight="1" x14ac:dyDescent="0.2">
      <c r="B68" s="134" t="s">
        <v>523</v>
      </c>
      <c r="C68" s="115"/>
      <c r="D68" s="137"/>
      <c r="E68" s="7"/>
    </row>
    <row r="69" spans="2:5" ht="35.25" customHeight="1" x14ac:dyDescent="0.2">
      <c r="B69" s="134" t="s">
        <v>524</v>
      </c>
      <c r="C69" s="115"/>
      <c r="D69" s="137"/>
      <c r="E69" s="7"/>
    </row>
    <row r="70" spans="2:5" ht="35.25" customHeight="1" x14ac:dyDescent="0.2">
      <c r="B70" s="134" t="s">
        <v>525</v>
      </c>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526</v>
      </c>
      <c r="C78" s="115"/>
      <c r="D78" s="137" t="s">
        <v>521</v>
      </c>
      <c r="E78" s="7"/>
    </row>
    <row r="79" spans="2:5" ht="35.25" customHeight="1" x14ac:dyDescent="0.2">
      <c r="B79" s="134" t="s">
        <v>527</v>
      </c>
      <c r="C79" s="115"/>
      <c r="D79" s="137"/>
      <c r="E79" s="7"/>
    </row>
    <row r="80" spans="2:5" ht="35.25" customHeight="1" x14ac:dyDescent="0.2">
      <c r="B80" s="134" t="s">
        <v>528</v>
      </c>
      <c r="C80" s="115"/>
      <c r="D80" s="137"/>
      <c r="E80" s="7"/>
    </row>
    <row r="81" spans="2:5" ht="35.25" customHeight="1" x14ac:dyDescent="0.2">
      <c r="B81" s="134" t="s">
        <v>529</v>
      </c>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530</v>
      </c>
      <c r="C89" s="115"/>
      <c r="D89" s="137" t="s">
        <v>521</v>
      </c>
      <c r="E89" s="7"/>
    </row>
    <row r="90" spans="2:5" ht="35.25" customHeight="1" x14ac:dyDescent="0.2">
      <c r="B90" s="134" t="s">
        <v>531</v>
      </c>
      <c r="C90" s="115"/>
      <c r="D90" s="137"/>
      <c r="E90" s="7"/>
    </row>
    <row r="91" spans="2:5" ht="35.25" customHeight="1" x14ac:dyDescent="0.2">
      <c r="B91" s="134" t="s">
        <v>532</v>
      </c>
      <c r="C91" s="115"/>
      <c r="D91" s="137"/>
      <c r="E91" s="7"/>
    </row>
    <row r="92" spans="2:5" ht="35.25" customHeight="1" x14ac:dyDescent="0.2">
      <c r="B92" s="134" t="s">
        <v>533</v>
      </c>
      <c r="C92" s="115"/>
      <c r="D92" s="137"/>
      <c r="E92" s="7"/>
    </row>
    <row r="93" spans="2:5" ht="35.25" customHeight="1" x14ac:dyDescent="0.2">
      <c r="B93" s="134" t="s">
        <v>534</v>
      </c>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535</v>
      </c>
      <c r="C100" s="115"/>
      <c r="D100" s="137" t="s">
        <v>521</v>
      </c>
      <c r="E100" s="7"/>
    </row>
    <row r="101" spans="2:5" ht="35.25" customHeight="1" x14ac:dyDescent="0.2">
      <c r="B101" s="134" t="s">
        <v>536</v>
      </c>
      <c r="C101" s="115"/>
      <c r="D101" s="137"/>
      <c r="E101" s="7"/>
    </row>
    <row r="102" spans="2:5" ht="35.25" customHeight="1" x14ac:dyDescent="0.2">
      <c r="B102" s="134" t="s">
        <v>537</v>
      </c>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509</v>
      </c>
      <c r="C111" s="115"/>
      <c r="D111" s="137" t="s">
        <v>509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509</v>
      </c>
      <c r="C123" s="113"/>
      <c r="D123" s="137" t="s">
        <v>509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538</v>
      </c>
      <c r="C134" s="113"/>
      <c r="D134" s="137" t="s">
        <v>539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540</v>
      </c>
      <c r="C145" s="113"/>
      <c r="D145" s="137" t="s">
        <v>541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509</v>
      </c>
      <c r="C156" s="113"/>
      <c r="D156" s="137" t="s">
        <v>509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509</v>
      </c>
      <c r="C167" s="113"/>
      <c r="D167" s="137" t="s">
        <v>509</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542</v>
      </c>
      <c r="C178" s="113"/>
      <c r="D178" s="137" t="s">
        <v>539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509</v>
      </c>
      <c r="C189" s="113"/>
      <c r="D189" s="137" t="s">
        <v>509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509</v>
      </c>
      <c r="C200" s="113"/>
      <c r="D200" s="137" t="s">
        <v>509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282" yWindow="329"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Natalia Dobrovolschi</cp:lastModifiedBy>
  <cp:lastPrinted>2014-12-18T11:24:00Z</cp:lastPrinted>
  <dcterms:created xsi:type="dcterms:W3CDTF">2012-03-15T16:14:51Z</dcterms:created>
  <dcterms:modified xsi:type="dcterms:W3CDTF">2016-07-29T14:04:01Z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