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6" i="10" l="1"/>
  <c r="G25" i="10"/>
  <c r="G27" i="10"/>
  <c r="G28" i="10"/>
  <c r="AS12" i="4" l="1"/>
  <c r="AU12" i="4"/>
  <c r="AU5" i="4"/>
  <c r="AS5" i="4"/>
  <c r="AU54" i="18"/>
  <c r="AS54" i="18"/>
  <c r="I54" i="18"/>
  <c r="F10" i="10" l="1"/>
  <c r="F9" i="10"/>
  <c r="F8" i="10"/>
  <c r="F7" i="10"/>
  <c r="F6" i="10"/>
  <c r="E54" i="18"/>
  <c r="I20" i="18" l="1"/>
  <c r="E20" i="18"/>
  <c r="E38" i="10" l="1"/>
  <c r="AU60" i="4" l="1"/>
  <c r="AS60" i="4"/>
  <c r="AU22" i="4"/>
  <c r="AS22" i="4"/>
  <c r="F38" i="10" l="1"/>
  <c r="D54" i="18" l="1"/>
  <c r="G20" i="10" l="1"/>
  <c r="G16" i="10"/>
  <c r="D17" i="10"/>
  <c r="E16" i="10"/>
  <c r="F16" i="10" s="1"/>
  <c r="C17" i="10" l="1"/>
  <c r="D12" i="10" l="1"/>
  <c r="E11" i="10"/>
  <c r="F11" i="10" s="1"/>
  <c r="F12" i="10" s="1"/>
  <c r="G10" i="10"/>
  <c r="E10" i="10"/>
  <c r="G9" i="10"/>
  <c r="E9" i="10"/>
  <c r="G8" i="10"/>
  <c r="E8" i="10"/>
  <c r="D60" i="4"/>
  <c r="E53" i="4"/>
  <c r="I53" i="4" s="1"/>
  <c r="E52" i="4"/>
  <c r="I52" i="4" s="1"/>
  <c r="E51" i="4"/>
  <c r="I51" i="4" s="1"/>
  <c r="E50" i="4"/>
  <c r="I50" i="4" s="1"/>
  <c r="E49" i="4"/>
  <c r="I49" i="4" s="1"/>
  <c r="E47" i="4"/>
  <c r="I47" i="4" s="1"/>
  <c r="E46" i="4"/>
  <c r="I46" i="4" s="1"/>
  <c r="E45" i="4"/>
  <c r="I45" i="4" s="1"/>
  <c r="E44" i="4"/>
  <c r="I44" i="4" s="1"/>
  <c r="I42" i="4"/>
  <c r="E41" i="4"/>
  <c r="I41" i="4" s="1"/>
  <c r="E40" i="4"/>
  <c r="I40" i="4" s="1"/>
  <c r="E39" i="4"/>
  <c r="I39" i="4" s="1"/>
  <c r="E38" i="4"/>
  <c r="I38" i="4" s="1"/>
  <c r="E37" i="4"/>
  <c r="E7" i="10" s="1"/>
  <c r="I35" i="4"/>
  <c r="E35" i="4"/>
  <c r="I34" i="4"/>
  <c r="E34" i="4"/>
  <c r="E22" i="4"/>
  <c r="F22" i="4"/>
  <c r="G22" i="4"/>
  <c r="H22" i="4"/>
  <c r="I22" i="4"/>
  <c r="D22" i="4"/>
  <c r="I13" i="4"/>
  <c r="F12" i="4"/>
  <c r="G12" i="4"/>
  <c r="H12" i="4"/>
  <c r="E5" i="4"/>
  <c r="E15" i="10" s="1"/>
  <c r="F5" i="4"/>
  <c r="G5" i="4"/>
  <c r="H5" i="4"/>
  <c r="I5" i="4"/>
  <c r="G15" i="10" s="1"/>
  <c r="D5" i="4"/>
  <c r="G24" i="10" l="1"/>
  <c r="G23" i="10"/>
  <c r="G32" i="10"/>
  <c r="G29" i="10" s="1"/>
  <c r="G33" i="10" s="1"/>
  <c r="E17" i="10"/>
  <c r="F17" i="10" s="1"/>
  <c r="F15" i="10"/>
  <c r="I37" i="4"/>
  <c r="G7" i="10" s="1"/>
  <c r="D12" i="4"/>
  <c r="E12" i="4"/>
  <c r="E6" i="10" s="1"/>
  <c r="I12" i="4" l="1"/>
  <c r="G6" i="10" s="1"/>
  <c r="G19" i="10" s="1"/>
  <c r="E12" i="10"/>
  <c r="G34" i="10" l="1"/>
  <c r="G22" i="10"/>
  <c r="G21" i="10"/>
  <c r="G30" i="10"/>
  <c r="G31" i="10" s="1"/>
</calcChain>
</file>

<file path=xl/sharedStrings.xml><?xml version="1.0" encoding="utf-8"?>
<sst xmlns="http://schemas.openxmlformats.org/spreadsheetml/2006/main" count="570" uniqueCount="503">
  <si>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</si>
  <si>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</si>
  <si>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</si>
  <si>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</si>
  <si>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</si>
  <si>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</si>
  <si>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</si>
  <si>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</si>
  <si>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</si>
  <si>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</si>
  <si>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</si>
  <si>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</si>
  <si>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</si>
  <si>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</si>
  <si>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</si>
  <si>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</si>
  <si>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</si>
  <si>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</si>
  <si>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</si>
  <si>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</si>
  <si>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</si>
  <si>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</si>
  <si>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</si>
  <si>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</si>
  <si>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</si>
  <si>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</si>
  <si>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</si>
  <si>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</si>
  <si>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</si>
  <si>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</si>
  <si>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</si>
  <si>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</si>
  <si>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</si>
  <si>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</si>
  <si>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</si>
  <si>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</si>
  <si>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</si>
  <si>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</si>
  <si>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</si>
  <si>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</si>
  <si>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</si>
  <si>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</si>
  <si>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</si>
  <si>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</si>
  <si>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</si>
  <si>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</si>
  <si>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</si>
  <si>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</si>
  <si>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</si>
  <si>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</si>
  <si>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</si>
  <si>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</si>
  <si>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</si>
  <si>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</si>
  <si>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</si>
  <si>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</si>
  <si>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</si>
  <si>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</si>
  <si>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</si>
  <si>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</si>
  <si>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</si>
  <si>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</si>
  <si>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</si>
  <si>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</si>
  <si>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</si>
  <si>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</si>
  <si>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</si>
  <si>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</si>
  <si>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</si>
  <si>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</si>
  <si>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</si>
  <si>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</si>
  <si>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</si>
  <si>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</si>
  <si>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</si>
  <si>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</si>
  <si>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</si>
  <si>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</si>
  <si>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</si>
  <si>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</si>
  <si>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</si>
  <si>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</si>
  <si>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</si>
  <si>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</si>
  <si>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</si>
  <si>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</si>
  <si>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</si>
  <si>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</si>
  <si>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</si>
  <si>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</si>
  <si>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</si>
  <si>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</si>
  <si>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</si>
  <si>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</si>
  <si>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</si>
  <si>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</si>
  <si>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</si>
  <si>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</si>
  <si>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</si>
  <si>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</si>
  <si>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</si>
  <si>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</si>
  <si>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</si>
  <si>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</si>
  <si>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</si>
  <si>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</si>
  <si>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</si>
  <si>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</si>
  <si>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</si>
  <si>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</si>
  <si>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</si>
  <si>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</si>
  <si>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</si>
  <si>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</si>
  <si>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</si>
  <si>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</si>
  <si>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</si>
  <si>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</si>
  <si>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</si>
  <si>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</si>
  <si>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</si>
  <si>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</si>
  <si>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</si>
  <si>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</si>
  <si>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</si>
  <si>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</si>
  <si>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</si>
  <si>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</si>
  <si>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</si>
  <si>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</si>
  <si>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</si>
  <si>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</si>
  <si>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</si>
  <si>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</si>
  <si>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</si>
  <si>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</si>
  <si>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</si>
  <si>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</si>
  <si>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</si>
  <si>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</si>
  <si>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</si>
  <si>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</si>
  <si>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</si>
  <si>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</si>
  <si>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</si>
  <si>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</si>
  <si>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</si>
  <si>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</si>
  <si>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</si>
  <si>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</si>
  <si>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</si>
  <si>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</si>
  <si>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</si>
  <si>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</si>
  <si>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</si>
  <si>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</si>
  <si>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</si>
  <si>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</si>
  <si>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</si>
  <si>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</si>
  <si>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</si>
  <si>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</si>
  <si>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</si>
  <si>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</si>
  <si>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</si>
  <si>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</si>
  <si>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</si>
  <si>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</si>
  <si>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</si>
  <si>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</si>
  <si>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</si>
  <si>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</si>
  <si>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</si>
  <si>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</si>
  <si>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</si>
  <si>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</si>
  <si>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</si>
  <si>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</si>
  <si>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</si>
  <si>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</si>
  <si>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</si>
  <si>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</si>
  <si>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</si>
  <si>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</si>
  <si>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</si>
  <si>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</si>
  <si>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</si>
  <si>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</si>
  <si>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</si>
  <si>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</si>
  <si>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</si>
  <si>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</si>
  <si>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</si>
  <si>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</si>
  <si>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</si>
  <si>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</si>
  <si>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</si>
  <si>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</si>
  <si>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</si>
  <si>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</si>
  <si>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</si>
  <si>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</si>
  <si>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</si>
  <si>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</si>
  <si>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</si>
  <si>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</si>
  <si>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</si>
  <si>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</si>
  <si>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</si>
  <si>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</si>
  <si>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</si>
  <si>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</si>
  <si>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</si>
  <si>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</si>
  <si>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</si>
  <si>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</si>
  <si>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</si>
  <si>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</si>
  <si>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</si>
  <si>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</si>
  <si>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</si>
  <si>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</si>
  <si>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</si>
  <si>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</si>
  <si>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</si>
  <si>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</si>
  <si>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</si>
  <si>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</si>
  <si>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</si>
  <si>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</si>
  <si>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</si>
  <si>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</si>
  <si>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</si>
  <si>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</si>
  <si>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</si>
  <si>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</si>
  <si>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</si>
  <si>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</si>
  <si>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</si>
  <si>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</si>
  <si>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</si>
  <si>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</si>
  <si>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</si>
  <si>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</si>
  <si>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</si>
  <si>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</si>
  <si>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</si>
  <si>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</si>
  <si>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</si>
  <si>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</si>
  <si>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</si>
  <si>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</si>
  <si>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</si>
  <si>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</si>
  <si>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</si>
  <si>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</si>
  <si>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</si>
  <si>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</si>
  <si>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</si>
  <si>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</si>
  <si>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</si>
  <si>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</si>
  <si>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</si>
  <si>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</si>
  <si>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</si>
  <si>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</si>
  <si>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</si>
  <si>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</si>
  <si>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</si>
  <si>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</si>
  <si>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</si>
  <si>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</si>
  <si>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</si>
  <si>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</si>
  <si>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</si>
  <si>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</si>
  <si>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</si>
  <si>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</si>
  <si>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</si>
  <si>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</si>
  <si>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</si>
  <si>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</si>
  <si>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</si>
  <si>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</si>
  <si>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</si>
  <si>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</si>
  <si>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</si>
  <si>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</si>
  <si>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</si>
  <si>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</si>
  <si>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</si>
  <si>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</si>
  <si>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</si>
  <si>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</si>
  <si>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</si>
  <si>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</si>
  <si>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</si>
  <si>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</si>
  <si>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</si>
  <si>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</si>
  <si>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</si>
  <si>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</si>
  <si>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</si>
  <si>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</si>
  <si>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</si>
  <si>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</si>
  <si>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</si>
  <si>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</si>
  <si>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</si>
  <si>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</si>
  <si>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</si>
  <si>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</si>
  <si>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</si>
  <si>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</si>
  <si>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</si>
  <si>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</si>
  <si>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</si>
  <si>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</si>
  <si>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</si>
  <si>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</si>
  <si>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</si>
  <si>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</si>
  <si>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</si>
  <si>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</si>
  <si>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</si>
  <si>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</si>
  <si>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</si>
  <si>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</si>
  <si>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</si>
  <si>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</si>
  <si>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</si>
  <si>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</si>
  <si>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</si>
  <si>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</si>
  <si>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</si>
  <si>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</si>
  <si>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</si>
  <si>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</si>
  <si>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</si>
  <si>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</si>
  <si>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</si>
  <si>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</si>
  <si>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</si>
  <si>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</si>
  <si>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</si>
  <si>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</si>
  <si>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</si>
  <si>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</si>
  <si>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</si>
  <si>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</si>
  <si>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</si>
  <si>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</si>
  <si>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</si>
  <si>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</si>
  <si>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</si>
  <si>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</si>
  <si>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</si>
  <si>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</si>
  <si>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</si>
  <si>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</si>
  <si>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</si>
  <si>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</si>
  <si>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</si>
  <si>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</si>
  <si>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</si>
  <si>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</si>
  <si>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</si>
  <si>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</si>
  <si>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</si>
  <si>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</si>
  <si>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</si>
  <si>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</si>
  <si>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</si>
  <si>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</si>
  <si>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</si>
  <si>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</si>
  <si>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</si>
  <si>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</si>
  <si>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</si>
  <si>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</si>
  <si>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</si>
  <si>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</si>
  <si>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</si>
  <si>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</si>
  <si>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</si>
  <si>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</si>
  <si>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</si>
  <si>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</si>
  <si>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</si>
  <si>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</si>
  <si>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</si>
  <si>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</si>
  <si>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</si>
  <si>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</si>
  <si>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</si>
  <si>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</si>
  <si>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</si>
  <si>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</si>
  <si>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</si>
  <si>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</si>
  <si>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</si>
  <si>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</si>
  <si>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</si>
  <si>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</si>
  <si>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</si>
  <si>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</si>
  <si>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</si>
  <si>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</si>
  <si>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</si>
  <si>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</si>
  <si>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</si>
  <si>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</si>
  <si>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</si>
  <si>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</si>
  <si>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</si>
  <si>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</si>
  <si>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</si>
  <si>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</si>
  <si>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</si>
  <si>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</si>
  <si>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</si>
  <si>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</si>
  <si>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</si>
  <si>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</si>
  <si>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</si>
  <si>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</si>
  <si>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</si>
  <si>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</si>
  <si>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</si>
  <si>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</si>
  <si>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</si>
  <si>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</si>
  <si>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</si>
  <si>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</si>
  <si>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</si>
  <si>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</si>
  <si>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</si>
  <si>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</si>
  <si>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</si>
  <si>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</si>
  <si>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</si>
  <si>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</si>
  <si>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</si>
  <si>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</si>
  <si>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</si>
  <si>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</si>
  <si>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</si>
  <si>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</si>
  <si>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</si>
  <si>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</si>
  <si>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</si>
  <si>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</si>
  <si>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</si>
  <si>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</si>
  <si>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</si>
  <si>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</si>
  <si>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</si>
  <si>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</si>
  <si>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</si>
  <si>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</si>
  <si>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</si>
  <si>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</si>
  <si>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</si>
  <si>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</si>
  <si>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</si>
  <si>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</si>
  <si>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</si>
  <si>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</si>
  <si>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</si>
  <si>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</si>
  <si>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</si>
  <si>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</si>
  <si>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</si>
  <si>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</si>
  <si>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</si>
  <si>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</si>
  <si>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</si>
  <si>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</si>
  <si>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</si>
  <si>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</si>
  <si>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</si>
  <si>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</si>
  <si>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</si>
  <si>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</si>
  <si>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</si>
  <si>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</si>
  <si>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</si>
  <si>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</si>
  <si>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</si>
  <si>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</si>
  <si>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</si>
  <si>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</si>
  <si>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</si>
  <si>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</si>
  <si>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</si>
  <si>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</si>
  <si>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Meridian Health Plan of Michigan, Inc.</t>
  </si>
  <si>
    <t>2015</t>
  </si>
  <si>
    <t>777 Woodward Avenue Detroit, MI 48226</t>
  </si>
  <si>
    <t>383253977</t>
  </si>
  <si>
    <t>58594</t>
  </si>
  <si>
    <t>708</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</si>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</sst>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7"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5" sqref="C5"/>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501</v>
      </c>
      <c r="B4" s="148" t="s">
        <v>45</v>
      </c>
      <c r="C4" s="481" t="s">
        <v>496</v>
      </c>
    </row>
    <row r="5" spans="1:6" x14ac:dyDescent="0.2">
      <c r="B5" s="148" t="s">
        <v>215</v>
      </c>
      <c r="C5" s="481" t="s">
        <v>496</v>
      </c>
    </row>
    <row r="6" spans="1:6" x14ac:dyDescent="0.2">
      <c r="B6" s="148" t="s">
        <v>216</v>
      </c>
      <c r="C6" s="481" t="s">
        <v>499</v>
      </c>
    </row>
    <row r="7" spans="1:6" x14ac:dyDescent="0.2">
      <c r="B7" s="148" t="s">
        <v>128</v>
      </c>
      <c r="C7" s="481"/>
    </row>
    <row r="8" spans="1:6" x14ac:dyDescent="0.2">
      <c r="B8" s="148" t="s">
        <v>36</v>
      </c>
      <c r="C8" s="481"/>
    </row>
    <row r="9" spans="1:6" x14ac:dyDescent="0.2">
      <c r="B9" s="148" t="s">
        <v>41</v>
      </c>
      <c r="C9" s="481"/>
    </row>
    <row r="10" spans="1:6" x14ac:dyDescent="0.2">
      <c r="B10" s="148" t="s">
        <v>58</v>
      </c>
      <c r="C10" s="481" t="s">
        <v>496</v>
      </c>
    </row>
    <row r="11" spans="1:6" x14ac:dyDescent="0.2">
      <c r="B11" s="148" t="s">
        <v>349</v>
      </c>
      <c r="C11" s="481" t="s">
        <v>500</v>
      </c>
    </row>
    <row r="12" spans="1:6" x14ac:dyDescent="0.2">
      <c r="B12" s="148" t="s">
        <v>35</v>
      </c>
      <c r="C12" s="481" t="s">
        <v>162</v>
      </c>
    </row>
    <row r="13" spans="1:6" x14ac:dyDescent="0.2">
      <c r="B13" s="148" t="s">
        <v>50</v>
      </c>
      <c r="C13" s="481" t="s">
        <v>162</v>
      </c>
    </row>
    <row r="14" spans="1:6" x14ac:dyDescent="0.2">
      <c r="B14" s="148" t="s">
        <v>51</v>
      </c>
      <c r="C14" s="481" t="s">
        <v>498</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497</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22" zoomScale="80" zoomScaleNormal="80" workbookViewId="0">
      <pane xSplit="1" topLeftCell="C1" activePane="topRight" state="frozen"/>
      <selection activeCell="B1" sqref="B1"/>
      <selection pane="topRight" activeCell="AS22" sqref="AS2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f>'Pt 2 Premium and Claims'!D5+'Pt 2 Premium and Claims'!D6-'Pt 2 Premium and Claims'!D7-'Pt 2 Premium and Claims'!D13+'Pt 2 Premium and Claims'!D14+'Pt 2 Premium and Claims'!D15+'Pt 2 Premium and Claims'!D16+'Pt 2 Premium and Claims'!D17</f>
        <v>122165.33</v>
      </c>
      <c r="E5" s="213">
        <f>'Pt 2 Premium and Claims'!E5+'Pt 2 Premium and Claims'!E6-'Pt 2 Premium and Claims'!E7-'Pt 2 Premium and Claims'!E13+'Pt 2 Premium and Claims'!E14+'Pt 2 Premium and Claims'!E15+'Pt 2 Premium and Claims'!E16+'Pt 2 Premium and Claims'!E17</f>
        <v>103790.9</v>
      </c>
      <c r="F5" s="213">
        <f>'Pt 2 Premium and Claims'!F5+'Pt 2 Premium and Claims'!F6-'Pt 2 Premium and Claims'!F7-'Pt 2 Premium and Claims'!F13+'Pt 2 Premium and Claims'!F14+'Pt 2 Premium and Claims'!F15+'Pt 2 Premium and Claims'!F16+'Pt 2 Premium and Claims'!F17</f>
        <v>0</v>
      </c>
      <c r="G5" s="213">
        <f>'Pt 2 Premium and Claims'!G5+'Pt 2 Premium and Claims'!G6-'Pt 2 Premium and Claims'!G7-'Pt 2 Premium and Claims'!G13+'Pt 2 Premium and Claims'!G14+'Pt 2 Premium and Claims'!G15+'Pt 2 Premium and Claims'!G16+'Pt 2 Premium and Claims'!G17</f>
        <v>0</v>
      </c>
      <c r="H5" s="213">
        <f>'Pt 2 Premium and Claims'!H5+'Pt 2 Premium and Claims'!H6-'Pt 2 Premium and Claims'!H7-'Pt 2 Premium and Claims'!H13+'Pt 2 Premium and Claims'!H14+'Pt 2 Premium and Claims'!H15+'Pt 2 Premium and Claims'!H16+'Pt 2 Premium and Claims'!H17</f>
        <v>0</v>
      </c>
      <c r="I5" s="213">
        <f>'Pt 2 Premium and Claims'!I5+'Pt 2 Premium and Claims'!I6-'Pt 2 Premium and Claims'!I7-'Pt 2 Premium and Claims'!I13+'Pt 2 Premium and Claims'!I14+'Pt 2 Premium and Claims'!I15+'Pt 2 Premium and Claims'!I16+'Pt 2 Premium and Claims'!I17</f>
        <v>164608.9</v>
      </c>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f>'Pt 2 Premium and Claims'!AS5+'Pt 2 Premium and Claims'!AS6-'Pt 2 Premium and Claims'!AS7-'Pt 2 Premium and Claims'!AS13+'Pt 2 Premium and Claims'!AS14+'Pt 2 Premium and Claims'!AS15+'Pt 2 Premium and Claims'!AS16+'Pt 2 Premium and Claims'!AS17</f>
        <v>2011812532</v>
      </c>
      <c r="AT5" s="215"/>
      <c r="AU5" s="213">
        <f>'Pt 2 Premium and Claims'!AU5+'Pt 2 Premium and Claims'!AU6-'Pt 2 Premium and Claims'!AU7-'Pt 2 Premium and Claims'!AU13+'Pt 2 Premium and Claims'!AU14+'Pt 2 Premium and Claims'!AU15+'Pt 2 Premium and Claims'!AU16+'Pt 2 Premium and Claims'!AU17</f>
        <v>101150741</v>
      </c>
      <c r="AV5" s="216"/>
      <c r="AW5" s="297"/>
    </row>
    <row r="6" spans="1:49" x14ac:dyDescent="0.2">
      <c r="B6" s="240" t="s">
        <v>223</v>
      </c>
      <c r="C6" s="204" t="s">
        <v>12</v>
      </c>
      <c r="D6" s="217">
        <v>0</v>
      </c>
      <c r="E6" s="218">
        <v>0</v>
      </c>
      <c r="F6" s="218">
        <v>0</v>
      </c>
      <c r="G6" s="219">
        <v>0</v>
      </c>
      <c r="H6" s="219">
        <v>0</v>
      </c>
      <c r="I6" s="220">
        <v>0</v>
      </c>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c r="AU6" s="221">
        <v>0</v>
      </c>
      <c r="AV6" s="291"/>
      <c r="AW6" s="298"/>
    </row>
    <row r="7" spans="1:49" x14ac:dyDescent="0.2">
      <c r="B7" s="240" t="s">
        <v>224</v>
      </c>
      <c r="C7" s="204" t="s">
        <v>13</v>
      </c>
      <c r="D7" s="217">
        <v>0</v>
      </c>
      <c r="E7" s="218">
        <v>0</v>
      </c>
      <c r="F7" s="218">
        <v>0</v>
      </c>
      <c r="G7" s="218">
        <v>0</v>
      </c>
      <c r="H7" s="218">
        <v>0</v>
      </c>
      <c r="I7" s="217">
        <v>0</v>
      </c>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c r="AU7" s="221">
        <v>0</v>
      </c>
      <c r="AV7" s="291"/>
      <c r="AW7" s="298"/>
    </row>
    <row r="8" spans="1:49" ht="25.5" x14ac:dyDescent="0.2">
      <c r="B8" s="240" t="s">
        <v>225</v>
      </c>
      <c r="C8" s="204" t="s">
        <v>59</v>
      </c>
      <c r="D8" s="217">
        <v>0</v>
      </c>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-2623474</v>
      </c>
      <c r="AT8" s="221"/>
      <c r="AU8" s="221">
        <v>-68452</v>
      </c>
      <c r="AV8" s="291"/>
      <c r="AW8" s="298"/>
    </row>
    <row r="9" spans="1:49" x14ac:dyDescent="0.2">
      <c r="B9" s="240" t="s">
        <v>226</v>
      </c>
      <c r="C9" s="204" t="s">
        <v>60</v>
      </c>
      <c r="D9" s="217">
        <v>0</v>
      </c>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c r="AU9" s="221">
        <v>0</v>
      </c>
      <c r="AV9" s="291"/>
      <c r="AW9" s="298"/>
    </row>
    <row r="10" spans="1:49" x14ac:dyDescent="0.2">
      <c r="B10" s="240" t="s">
        <v>227</v>
      </c>
      <c r="C10" s="204" t="s">
        <v>52</v>
      </c>
      <c r="D10" s="217">
        <v>0</v>
      </c>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f>'Pt 2 Premium and Claims'!D54</f>
        <v>81395</v>
      </c>
      <c r="E12" s="213">
        <f>'Pt 2 Premium and Claims'!E54</f>
        <v>45897.57</v>
      </c>
      <c r="F12" s="213">
        <f>'Pt 2 Premium and Claims'!F54</f>
        <v>0</v>
      </c>
      <c r="G12" s="213">
        <f>'Pt 2 Premium and Claims'!G54</f>
        <v>0</v>
      </c>
      <c r="H12" s="213">
        <f>'Pt 2 Premium and Claims'!H54</f>
        <v>0</v>
      </c>
      <c r="I12" s="213">
        <f>'Pt 2 Premium and Claims'!I54</f>
        <v>45897.57</v>
      </c>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f>'Pt 2 Premium and Claims'!AS54+2</f>
        <v>1660521542</v>
      </c>
      <c r="AT12" s="215"/>
      <c r="AU12" s="213">
        <f>'Pt 2 Premium and Claims'!AU54</f>
        <v>92473263</v>
      </c>
      <c r="AV12" s="292"/>
      <c r="AW12" s="297"/>
    </row>
    <row r="13" spans="1:49" ht="25.5" x14ac:dyDescent="0.2">
      <c r="B13" s="240" t="s">
        <v>230</v>
      </c>
      <c r="C13" s="204" t="s">
        <v>37</v>
      </c>
      <c r="D13" s="217">
        <v>12515</v>
      </c>
      <c r="E13" s="218">
        <v>13714</v>
      </c>
      <c r="F13" s="218">
        <v>0</v>
      </c>
      <c r="G13" s="269"/>
      <c r="H13" s="270"/>
      <c r="I13" s="217">
        <f>E13</f>
        <v>13714</v>
      </c>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209084640</v>
      </c>
      <c r="AT13" s="221"/>
      <c r="AU13" s="221">
        <v>14223762</v>
      </c>
      <c r="AV13" s="291"/>
      <c r="AW13" s="298"/>
    </row>
    <row r="14" spans="1:49" ht="25.5" x14ac:dyDescent="0.2">
      <c r="B14" s="240" t="s">
        <v>231</v>
      </c>
      <c r="C14" s="204" t="s">
        <v>6</v>
      </c>
      <c r="D14" s="217">
        <v>439</v>
      </c>
      <c r="E14" s="218">
        <v>718</v>
      </c>
      <c r="F14" s="218">
        <v>0</v>
      </c>
      <c r="G14" s="268"/>
      <c r="H14" s="271"/>
      <c r="I14" s="217">
        <v>718</v>
      </c>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2600125</v>
      </c>
      <c r="AT14" s="221"/>
      <c r="AU14" s="221">
        <v>603559</v>
      </c>
      <c r="AV14" s="291"/>
      <c r="AW14" s="298"/>
    </row>
    <row r="15" spans="1:49" ht="38.25" x14ac:dyDescent="0.2">
      <c r="B15" s="240" t="s">
        <v>232</v>
      </c>
      <c r="C15" s="204" t="s">
        <v>7</v>
      </c>
      <c r="D15" s="217">
        <v>0</v>
      </c>
      <c r="E15" s="218">
        <v>0</v>
      </c>
      <c r="F15" s="218">
        <v>0</v>
      </c>
      <c r="G15" s="268"/>
      <c r="H15" s="274"/>
      <c r="I15" s="217">
        <v>0</v>
      </c>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v>0</v>
      </c>
      <c r="AT15" s="221"/>
      <c r="AU15" s="221">
        <v>0</v>
      </c>
      <c r="AV15" s="291"/>
      <c r="AW15" s="298"/>
    </row>
    <row r="16" spans="1:49" ht="25.5" x14ac:dyDescent="0.2">
      <c r="B16" s="240" t="s">
        <v>233</v>
      </c>
      <c r="C16" s="204" t="s">
        <v>61</v>
      </c>
      <c r="D16" s="217">
        <v>0</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-4188094</v>
      </c>
      <c r="AT16" s="221"/>
      <c r="AU16" s="221">
        <v>0</v>
      </c>
      <c r="AV16" s="291"/>
      <c r="AW16" s="298"/>
    </row>
    <row r="17" spans="1:49" x14ac:dyDescent="0.2">
      <c r="B17" s="240" t="s">
        <v>234</v>
      </c>
      <c r="C17" s="204" t="s">
        <v>62</v>
      </c>
      <c r="D17" s="217">
        <v>0</v>
      </c>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0</v>
      </c>
      <c r="AT17" s="221"/>
      <c r="AU17" s="221">
        <v>0</v>
      </c>
      <c r="AV17" s="291"/>
      <c r="AW17" s="298"/>
    </row>
    <row r="18" spans="1:49" x14ac:dyDescent="0.2">
      <c r="B18" s="240" t="s">
        <v>235</v>
      </c>
      <c r="C18" s="204" t="s">
        <v>63</v>
      </c>
      <c r="D18" s="217">
        <v>0</v>
      </c>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v>0</v>
      </c>
      <c r="AT18" s="221"/>
      <c r="AU18" s="221">
        <v>0</v>
      </c>
      <c r="AV18" s="291"/>
      <c r="AW18" s="298"/>
    </row>
    <row r="19" spans="1:49" x14ac:dyDescent="0.2">
      <c r="B19" s="240" t="s">
        <v>236</v>
      </c>
      <c r="C19" s="204" t="s">
        <v>64</v>
      </c>
      <c r="D19" s="217">
        <v>0</v>
      </c>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v>0</v>
      </c>
      <c r="AT19" s="221"/>
      <c r="AU19" s="221">
        <v>0</v>
      </c>
      <c r="AV19" s="291"/>
      <c r="AW19" s="298"/>
    </row>
    <row r="20" spans="1:49" x14ac:dyDescent="0.2">
      <c r="B20" s="240" t="s">
        <v>237</v>
      </c>
      <c r="C20" s="204" t="s">
        <v>65</v>
      </c>
      <c r="D20" s="217">
        <v>0</v>
      </c>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v>0</v>
      </c>
      <c r="AT20" s="221"/>
      <c r="AU20" s="221">
        <v>0</v>
      </c>
      <c r="AV20" s="291"/>
      <c r="AW20" s="298"/>
    </row>
    <row r="21" spans="1:49" x14ac:dyDescent="0.2">
      <c r="B21" s="240" t="s">
        <v>238</v>
      </c>
      <c r="C21" s="204" t="s">
        <v>66</v>
      </c>
      <c r="D21" s="217">
        <v>0</v>
      </c>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v>0</v>
      </c>
      <c r="AT21" s="221"/>
      <c r="AU21" s="221">
        <v>0</v>
      </c>
      <c r="AV21" s="291"/>
      <c r="AW21" s="298"/>
    </row>
    <row r="22" spans="1:49" ht="25.5" x14ac:dyDescent="0.2">
      <c r="B22" s="240" t="s">
        <v>492</v>
      </c>
      <c r="C22" s="204" t="s">
        <v>28</v>
      </c>
      <c r="D22" s="222">
        <f>'Pt 2 Premium and Claims'!D55</f>
        <v>0</v>
      </c>
      <c r="E22" s="400">
        <f>'Pt 2 Premium and Claims'!E55</f>
        <v>0</v>
      </c>
      <c r="F22" s="400">
        <f>'Pt 2 Premium and Claims'!F55</f>
        <v>0</v>
      </c>
      <c r="G22" s="400">
        <f>'Pt 2 Premium and Claims'!G55</f>
        <v>0</v>
      </c>
      <c r="H22" s="400">
        <f>'Pt 2 Premium and Claims'!H55</f>
        <v>0</v>
      </c>
      <c r="I22" s="400">
        <f>'Pt 2 Premium and Claims'!I55</f>
        <v>0</v>
      </c>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f>'Pt 2 Premium and Claims'!AS55</f>
        <v>0</v>
      </c>
      <c r="AT22" s="224"/>
      <c r="AU22" s="224">
        <f>'Pt 2 Premium and Claims'!AU55</f>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3320</v>
      </c>
      <c r="E25" s="218">
        <v>3320</v>
      </c>
      <c r="F25" s="218">
        <v>0</v>
      </c>
      <c r="G25" s="218">
        <v>0</v>
      </c>
      <c r="H25" s="218">
        <v>0</v>
      </c>
      <c r="I25" s="217">
        <v>3320</v>
      </c>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v>17384573</v>
      </c>
      <c r="AT25" s="221"/>
      <c r="AU25" s="221">
        <v>0</v>
      </c>
      <c r="AV25" s="221"/>
      <c r="AW25" s="298"/>
    </row>
    <row r="26" spans="1:49" s="6" customFormat="1" x14ac:dyDescent="0.2">
      <c r="A26" s="36"/>
      <c r="B26" s="243" t="s">
        <v>242</v>
      </c>
      <c r="C26" s="204"/>
      <c r="D26" s="217">
        <v>0</v>
      </c>
      <c r="E26" s="218">
        <v>60.76</v>
      </c>
      <c r="F26" s="218">
        <v>0</v>
      </c>
      <c r="G26" s="218">
        <v>0</v>
      </c>
      <c r="H26" s="218">
        <v>0</v>
      </c>
      <c r="I26" s="217">
        <v>60.76</v>
      </c>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v>0</v>
      </c>
      <c r="AT26" s="221"/>
      <c r="AU26" s="221">
        <v>0</v>
      </c>
      <c r="AV26" s="221"/>
      <c r="AW26" s="298"/>
    </row>
    <row r="27" spans="1:49" s="6" customFormat="1" x14ac:dyDescent="0.2">
      <c r="B27" s="243" t="s">
        <v>243</v>
      </c>
      <c r="C27" s="204"/>
      <c r="D27" s="217">
        <v>0</v>
      </c>
      <c r="E27" s="218">
        <v>1941</v>
      </c>
      <c r="F27" s="218">
        <v>0</v>
      </c>
      <c r="G27" s="218">
        <v>0</v>
      </c>
      <c r="H27" s="218">
        <v>0</v>
      </c>
      <c r="I27" s="217">
        <v>1941</v>
      </c>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v>26972234</v>
      </c>
      <c r="AT27" s="221"/>
      <c r="AU27" s="221">
        <v>581406</v>
      </c>
      <c r="AV27" s="294"/>
      <c r="AW27" s="298"/>
    </row>
    <row r="28" spans="1:49" s="6" customFormat="1" x14ac:dyDescent="0.2">
      <c r="A28" s="36"/>
      <c r="B28" s="243" t="s">
        <v>244</v>
      </c>
      <c r="C28" s="204"/>
      <c r="D28" s="217">
        <v>0</v>
      </c>
      <c r="E28" s="218">
        <v>0</v>
      </c>
      <c r="F28" s="218">
        <v>0</v>
      </c>
      <c r="G28" s="218">
        <v>0</v>
      </c>
      <c r="H28" s="218">
        <v>0</v>
      </c>
      <c r="I28" s="217">
        <v>0</v>
      </c>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v>0</v>
      </c>
      <c r="AT28" s="221"/>
      <c r="AU28" s="221">
        <v>0</v>
      </c>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3619</v>
      </c>
      <c r="E30" s="218">
        <v>3619</v>
      </c>
      <c r="F30" s="218">
        <v>0</v>
      </c>
      <c r="G30" s="218">
        <v>0</v>
      </c>
      <c r="H30" s="218">
        <v>0</v>
      </c>
      <c r="I30" s="217">
        <v>3619</v>
      </c>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v>125949060</v>
      </c>
      <c r="AT30" s="221"/>
      <c r="AU30" s="221">
        <v>189264</v>
      </c>
      <c r="AV30" s="221"/>
      <c r="AW30" s="298"/>
    </row>
    <row r="31" spans="1:49" x14ac:dyDescent="0.2">
      <c r="B31" s="243" t="s">
        <v>247</v>
      </c>
      <c r="C31" s="204"/>
      <c r="D31" s="217">
        <v>0</v>
      </c>
      <c r="E31" s="218">
        <v>0</v>
      </c>
      <c r="F31" s="218">
        <v>0</v>
      </c>
      <c r="G31" s="218">
        <v>0</v>
      </c>
      <c r="H31" s="218">
        <v>0</v>
      </c>
      <c r="I31" s="217">
        <v>0</v>
      </c>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v>0</v>
      </c>
      <c r="AT31" s="221"/>
      <c r="AU31" s="221">
        <v>0</v>
      </c>
      <c r="AV31" s="221"/>
      <c r="AW31" s="298"/>
    </row>
    <row r="32" spans="1:49" ht="13.9" customHeight="1" x14ac:dyDescent="0.2">
      <c r="B32" s="243" t="s">
        <v>248</v>
      </c>
      <c r="C32" s="204" t="s">
        <v>82</v>
      </c>
      <c r="D32" s="217">
        <v>0</v>
      </c>
      <c r="E32" s="218">
        <v>0</v>
      </c>
      <c r="F32" s="218">
        <v>0</v>
      </c>
      <c r="G32" s="218">
        <v>0</v>
      </c>
      <c r="H32" s="218">
        <v>0</v>
      </c>
      <c r="I32" s="217">
        <v>0</v>
      </c>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v>0</v>
      </c>
      <c r="AT32" s="221"/>
      <c r="AU32" s="221">
        <v>0</v>
      </c>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1186</v>
      </c>
      <c r="E34" s="218">
        <f>D34</f>
        <v>1186</v>
      </c>
      <c r="F34" s="218">
        <v>0</v>
      </c>
      <c r="G34" s="218">
        <v>0</v>
      </c>
      <c r="H34" s="218">
        <v>0</v>
      </c>
      <c r="I34" s="217">
        <f>D34</f>
        <v>1186</v>
      </c>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v>0</v>
      </c>
      <c r="AV34" s="221"/>
      <c r="AW34" s="298"/>
    </row>
    <row r="35" spans="1:49" x14ac:dyDescent="0.2">
      <c r="B35" s="243" t="s">
        <v>251</v>
      </c>
      <c r="C35" s="204"/>
      <c r="D35" s="217">
        <v>3244.92</v>
      </c>
      <c r="E35" s="218">
        <f>D35</f>
        <v>3244.92</v>
      </c>
      <c r="F35" s="218">
        <v>0</v>
      </c>
      <c r="G35" s="218">
        <v>0</v>
      </c>
      <c r="H35" s="218">
        <v>0</v>
      </c>
      <c r="I35" s="217">
        <f>D35</f>
        <v>3244.92</v>
      </c>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v>0</v>
      </c>
      <c r="AT35" s="221"/>
      <c r="AU35" s="221">
        <v>0</v>
      </c>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ht="14.25" thickTop="1" thickBot="1" x14ac:dyDescent="0.25">
      <c r="B37" s="245" t="s">
        <v>253</v>
      </c>
      <c r="C37" s="203" t="s">
        <v>15</v>
      </c>
      <c r="D37" s="225">
        <v>2016</v>
      </c>
      <c r="E37" s="226">
        <f>D37</f>
        <v>2016</v>
      </c>
      <c r="F37" s="226">
        <v>0</v>
      </c>
      <c r="G37" s="226">
        <v>0</v>
      </c>
      <c r="H37" s="226">
        <v>0</v>
      </c>
      <c r="I37" s="225">
        <f>E37</f>
        <v>2016</v>
      </c>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8327403</v>
      </c>
      <c r="AT37" s="227"/>
      <c r="AU37" s="227">
        <v>988890</v>
      </c>
      <c r="AV37" s="227"/>
      <c r="AW37" s="297"/>
    </row>
    <row r="38" spans="1:49" ht="14.25" thickTop="1" thickBot="1" x14ac:dyDescent="0.25">
      <c r="B38" s="240" t="s">
        <v>254</v>
      </c>
      <c r="C38" s="204" t="s">
        <v>16</v>
      </c>
      <c r="D38" s="217">
        <v>291</v>
      </c>
      <c r="E38" s="218">
        <f>D38</f>
        <v>291</v>
      </c>
      <c r="F38" s="218">
        <v>0</v>
      </c>
      <c r="G38" s="218">
        <v>0</v>
      </c>
      <c r="H38" s="218">
        <v>0</v>
      </c>
      <c r="I38" s="403">
        <f t="shared" ref="I38:I42" si="0">E38</f>
        <v>291</v>
      </c>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677468</v>
      </c>
      <c r="AT38" s="221"/>
      <c r="AU38" s="221">
        <v>242655</v>
      </c>
      <c r="AV38" s="221"/>
      <c r="AW38" s="298"/>
    </row>
    <row r="39" spans="1:49" ht="14.25" thickTop="1" thickBot="1" x14ac:dyDescent="0.25">
      <c r="B39" s="243" t="s">
        <v>255</v>
      </c>
      <c r="C39" s="204" t="s">
        <v>17</v>
      </c>
      <c r="D39" s="217">
        <v>281</v>
      </c>
      <c r="E39" s="218">
        <f>D39</f>
        <v>281</v>
      </c>
      <c r="F39" s="218">
        <v>0</v>
      </c>
      <c r="G39" s="218">
        <v>0</v>
      </c>
      <c r="H39" s="218">
        <v>0</v>
      </c>
      <c r="I39" s="403">
        <f t="shared" si="0"/>
        <v>281</v>
      </c>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657518</v>
      </c>
      <c r="AT39" s="221"/>
      <c r="AU39" s="221">
        <v>205264</v>
      </c>
      <c r="AV39" s="221"/>
      <c r="AW39" s="298"/>
    </row>
    <row r="40" spans="1:49" ht="14.25" thickTop="1" thickBot="1" x14ac:dyDescent="0.25">
      <c r="B40" s="243" t="s">
        <v>256</v>
      </c>
      <c r="C40" s="204" t="s">
        <v>38</v>
      </c>
      <c r="D40" s="217">
        <v>336</v>
      </c>
      <c r="E40" s="218">
        <f>D40</f>
        <v>336</v>
      </c>
      <c r="F40" s="218">
        <v>0</v>
      </c>
      <c r="G40" s="218">
        <v>0</v>
      </c>
      <c r="H40" s="218">
        <v>0</v>
      </c>
      <c r="I40" s="403">
        <f t="shared" si="0"/>
        <v>336</v>
      </c>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1920584</v>
      </c>
      <c r="AT40" s="221"/>
      <c r="AU40" s="221">
        <v>278272</v>
      </c>
      <c r="AV40" s="221"/>
      <c r="AW40" s="298"/>
    </row>
    <row r="41" spans="1:49" s="6" customFormat="1" ht="27" thickTop="1" thickBot="1" x14ac:dyDescent="0.25">
      <c r="A41" s="36"/>
      <c r="B41" s="243" t="s">
        <v>257</v>
      </c>
      <c r="C41" s="204" t="s">
        <v>129</v>
      </c>
      <c r="D41" s="217">
        <v>507</v>
      </c>
      <c r="E41" s="218">
        <f>D41</f>
        <v>507</v>
      </c>
      <c r="F41" s="218">
        <v>0</v>
      </c>
      <c r="G41" s="218">
        <v>0</v>
      </c>
      <c r="H41" s="218">
        <v>0</v>
      </c>
      <c r="I41" s="403">
        <f t="shared" si="0"/>
        <v>507</v>
      </c>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1276065</v>
      </c>
      <c r="AT41" s="221"/>
      <c r="AU41" s="221">
        <v>53804</v>
      </c>
      <c r="AV41" s="221"/>
      <c r="AW41" s="298"/>
    </row>
    <row r="42" spans="1:49" s="6" customFormat="1" ht="24.95" customHeight="1" thickTop="1" x14ac:dyDescent="0.2">
      <c r="A42" s="36"/>
      <c r="B42" s="240" t="s">
        <v>258</v>
      </c>
      <c r="C42" s="204" t="s">
        <v>87</v>
      </c>
      <c r="D42" s="217">
        <v>0</v>
      </c>
      <c r="E42" s="218">
        <v>0</v>
      </c>
      <c r="F42" s="218">
        <v>0</v>
      </c>
      <c r="G42" s="218">
        <v>0</v>
      </c>
      <c r="H42" s="218">
        <v>0</v>
      </c>
      <c r="I42" s="403">
        <f t="shared" si="0"/>
        <v>0</v>
      </c>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v>0</v>
      </c>
      <c r="AV42" s="221"/>
      <c r="AW42" s="298"/>
    </row>
    <row r="43" spans="1:49" ht="17.25" thickBot="1" x14ac:dyDescent="0.25">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f>D44</f>
        <v>0</v>
      </c>
      <c r="F44" s="226">
        <v>0</v>
      </c>
      <c r="G44" s="226">
        <v>0</v>
      </c>
      <c r="H44" s="226">
        <v>0</v>
      </c>
      <c r="I44" s="225">
        <f>E44</f>
        <v>0</v>
      </c>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0</v>
      </c>
      <c r="AT44" s="227"/>
      <c r="AU44" s="227">
        <v>0</v>
      </c>
      <c r="AV44" s="227"/>
      <c r="AW44" s="297"/>
    </row>
    <row r="45" spans="1:49" x14ac:dyDescent="0.2">
      <c r="B45" s="246" t="s">
        <v>261</v>
      </c>
      <c r="C45" s="204" t="s">
        <v>19</v>
      </c>
      <c r="D45" s="217">
        <v>446</v>
      </c>
      <c r="E45" s="218">
        <f>D45</f>
        <v>446</v>
      </c>
      <c r="F45" s="218">
        <v>0</v>
      </c>
      <c r="G45" s="218">
        <v>0</v>
      </c>
      <c r="H45" s="218">
        <v>0</v>
      </c>
      <c r="I45" s="217">
        <f>E45</f>
        <v>446</v>
      </c>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8031216</v>
      </c>
      <c r="AT45" s="221"/>
      <c r="AU45" s="221">
        <v>406419</v>
      </c>
      <c r="AV45" s="221"/>
      <c r="AW45" s="298"/>
    </row>
    <row r="46" spans="1:49" x14ac:dyDescent="0.2">
      <c r="B46" s="246" t="s">
        <v>262</v>
      </c>
      <c r="C46" s="204" t="s">
        <v>20</v>
      </c>
      <c r="D46" s="217">
        <v>353</v>
      </c>
      <c r="E46" s="218">
        <f>D46</f>
        <v>353</v>
      </c>
      <c r="F46" s="218">
        <v>0</v>
      </c>
      <c r="G46" s="218">
        <v>0</v>
      </c>
      <c r="H46" s="218">
        <v>0</v>
      </c>
      <c r="I46" s="217">
        <f>E46</f>
        <v>353</v>
      </c>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93127904</v>
      </c>
      <c r="AT46" s="221"/>
      <c r="AU46" s="221">
        <v>1668448</v>
      </c>
      <c r="AV46" s="221"/>
      <c r="AW46" s="298"/>
    </row>
    <row r="47" spans="1:49" x14ac:dyDescent="0.2">
      <c r="B47" s="246" t="s">
        <v>263</v>
      </c>
      <c r="C47" s="204" t="s">
        <v>21</v>
      </c>
      <c r="D47" s="217">
        <v>0</v>
      </c>
      <c r="E47" s="218">
        <f>D47</f>
        <v>0</v>
      </c>
      <c r="F47" s="218">
        <v>0</v>
      </c>
      <c r="G47" s="218">
        <v>0</v>
      </c>
      <c r="H47" s="218">
        <v>0</v>
      </c>
      <c r="I47" s="217">
        <f>E47</f>
        <v>0</v>
      </c>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c r="AU47" s="221">
        <v>0</v>
      </c>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f>D49</f>
        <v>0</v>
      </c>
      <c r="F49" s="218">
        <v>0</v>
      </c>
      <c r="G49" s="218">
        <v>0</v>
      </c>
      <c r="H49" s="218">
        <v>0</v>
      </c>
      <c r="I49" s="217">
        <f>E49</f>
        <v>0</v>
      </c>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v>0</v>
      </c>
      <c r="AV49" s="221"/>
      <c r="AW49" s="298"/>
    </row>
    <row r="50" spans="2:49" ht="25.5" x14ac:dyDescent="0.2">
      <c r="B50" s="240" t="s">
        <v>265</v>
      </c>
      <c r="C50" s="204"/>
      <c r="D50" s="217">
        <v>0</v>
      </c>
      <c r="E50" s="218">
        <f>D50</f>
        <v>0</v>
      </c>
      <c r="F50" s="218">
        <v>0</v>
      </c>
      <c r="G50" s="218">
        <v>0</v>
      </c>
      <c r="H50" s="218">
        <v>0</v>
      </c>
      <c r="I50" s="217">
        <f>E50</f>
        <v>0</v>
      </c>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v>0</v>
      </c>
      <c r="AV50" s="221"/>
      <c r="AW50" s="298"/>
    </row>
    <row r="51" spans="2:49" x14ac:dyDescent="0.2">
      <c r="B51" s="240" t="s">
        <v>266</v>
      </c>
      <c r="C51" s="204"/>
      <c r="D51" s="217">
        <v>112</v>
      </c>
      <c r="E51" s="218">
        <f>D51</f>
        <v>112</v>
      </c>
      <c r="F51" s="218">
        <v>0</v>
      </c>
      <c r="G51" s="218">
        <v>0</v>
      </c>
      <c r="H51" s="218">
        <v>0</v>
      </c>
      <c r="I51" s="217">
        <f>E51</f>
        <v>112</v>
      </c>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63432067</v>
      </c>
      <c r="AT51" s="221"/>
      <c r="AU51" s="221">
        <v>2236610</v>
      </c>
      <c r="AV51" s="221"/>
      <c r="AW51" s="298"/>
    </row>
    <row r="52" spans="2:49" ht="25.5" x14ac:dyDescent="0.2">
      <c r="B52" s="240" t="s">
        <v>267</v>
      </c>
      <c r="C52" s="204" t="s">
        <v>89</v>
      </c>
      <c r="D52" s="217">
        <v>0</v>
      </c>
      <c r="E52" s="218">
        <f>D52</f>
        <v>0</v>
      </c>
      <c r="F52" s="218">
        <v>0</v>
      </c>
      <c r="G52" s="218">
        <v>0</v>
      </c>
      <c r="H52" s="218">
        <v>0</v>
      </c>
      <c r="I52" s="217">
        <f>E52</f>
        <v>0</v>
      </c>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0</v>
      </c>
      <c r="AT52" s="221"/>
      <c r="AU52" s="221">
        <v>0</v>
      </c>
      <c r="AV52" s="221"/>
      <c r="AW52" s="298"/>
    </row>
    <row r="53" spans="2:49" ht="25.5" x14ac:dyDescent="0.2">
      <c r="B53" s="240" t="s">
        <v>268</v>
      </c>
      <c r="C53" s="204" t="s">
        <v>88</v>
      </c>
      <c r="D53" s="217">
        <v>0</v>
      </c>
      <c r="E53" s="218">
        <f>D53</f>
        <v>0</v>
      </c>
      <c r="F53" s="218">
        <v>0</v>
      </c>
      <c r="G53" s="269"/>
      <c r="H53" s="269"/>
      <c r="I53" s="217">
        <f>E53</f>
        <v>0</v>
      </c>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c r="AU53" s="221">
        <v>0</v>
      </c>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28</v>
      </c>
      <c r="E56" s="230">
        <v>28</v>
      </c>
      <c r="F56" s="230">
        <v>0</v>
      </c>
      <c r="G56" s="230">
        <v>0</v>
      </c>
      <c r="H56" s="230">
        <v>0</v>
      </c>
      <c r="I56" s="229">
        <v>28</v>
      </c>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444528</v>
      </c>
      <c r="AT56" s="231"/>
      <c r="AU56" s="231">
        <v>8553</v>
      </c>
      <c r="AV56" s="231"/>
      <c r="AW56" s="289"/>
    </row>
    <row r="57" spans="2:49" x14ac:dyDescent="0.2">
      <c r="B57" s="246" t="s">
        <v>272</v>
      </c>
      <c r="C57" s="204" t="s">
        <v>25</v>
      </c>
      <c r="D57" s="232">
        <v>28</v>
      </c>
      <c r="E57" s="233">
        <v>28</v>
      </c>
      <c r="F57" s="233">
        <v>0</v>
      </c>
      <c r="G57" s="233">
        <v>0</v>
      </c>
      <c r="H57" s="233">
        <v>0</v>
      </c>
      <c r="I57" s="232">
        <v>28</v>
      </c>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444528</v>
      </c>
      <c r="AT57" s="234"/>
      <c r="AU57" s="234">
        <v>8553</v>
      </c>
      <c r="AV57" s="234"/>
      <c r="AW57" s="290"/>
    </row>
    <row r="58" spans="2:49" x14ac:dyDescent="0.2">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0</v>
      </c>
      <c r="AT58" s="234"/>
      <c r="AU58" s="234">
        <v>0</v>
      </c>
      <c r="AV58" s="234"/>
      <c r="AW58" s="290"/>
    </row>
    <row r="59" spans="2:49" x14ac:dyDescent="0.2">
      <c r="B59" s="246" t="s">
        <v>274</v>
      </c>
      <c r="C59" s="204" t="s">
        <v>27</v>
      </c>
      <c r="D59" s="232">
        <v>288</v>
      </c>
      <c r="E59" s="233">
        <v>288</v>
      </c>
      <c r="F59" s="233">
        <v>0</v>
      </c>
      <c r="G59" s="233">
        <v>0</v>
      </c>
      <c r="H59" s="233">
        <v>0</v>
      </c>
      <c r="I59" s="232">
        <v>288</v>
      </c>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5039378</v>
      </c>
      <c r="AT59" s="234"/>
      <c r="AU59" s="234">
        <v>87902</v>
      </c>
      <c r="AV59" s="234"/>
      <c r="AW59" s="290"/>
    </row>
    <row r="60" spans="2:49" x14ac:dyDescent="0.2">
      <c r="B60" s="246" t="s">
        <v>275</v>
      </c>
      <c r="C60" s="204"/>
      <c r="D60" s="235">
        <f>D59/12</f>
        <v>24</v>
      </c>
      <c r="E60" s="236">
        <v>24</v>
      </c>
      <c r="F60" s="236"/>
      <c r="G60" s="236"/>
      <c r="H60" s="236"/>
      <c r="I60" s="235">
        <v>24</v>
      </c>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f>AS59/12</f>
        <v>419948.16666666669</v>
      </c>
      <c r="AT60" s="237"/>
      <c r="AU60" s="237">
        <f>AU59/12</f>
        <v>7325.166666666667</v>
      </c>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33" yWindow="16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8" fitToWidth="2" fitToHeight="0" pageOrder="overThenDown" orientation="portrait" cellComments="asDisplayed" r:id="rId1"/>
  <headerFooter alignWithMargins="0">
    <oddFooter>&amp;L&amp;F &amp;C Page &amp;P of &amp;N&amp;R[&amp;A]</oddFooter>
  </headerFooter>
  <rowBreaks count="1" manualBreakCount="1">
    <brk id="28" max="4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S54" sqref="AS5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122165.33</v>
      </c>
      <c r="E5" s="327">
        <v>121830</v>
      </c>
      <c r="F5" s="327">
        <v>0</v>
      </c>
      <c r="G5" s="329">
        <v>0</v>
      </c>
      <c r="H5" s="329">
        <v>0</v>
      </c>
      <c r="I5" s="326">
        <v>121830</v>
      </c>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2011812532</v>
      </c>
      <c r="AT5" s="328"/>
      <c r="AU5" s="328">
        <v>101150741</v>
      </c>
      <c r="AV5" s="370"/>
      <c r="AW5" s="374"/>
    </row>
    <row r="6" spans="2:49" x14ac:dyDescent="0.2">
      <c r="B6" s="344" t="s">
        <v>278</v>
      </c>
      <c r="C6" s="332" t="s">
        <v>8</v>
      </c>
      <c r="D6" s="319">
        <v>0</v>
      </c>
      <c r="E6" s="320">
        <v>0</v>
      </c>
      <c r="F6" s="320">
        <v>0</v>
      </c>
      <c r="G6" s="321">
        <v>0</v>
      </c>
      <c r="H6" s="321">
        <v>0</v>
      </c>
      <c r="I6" s="319">
        <v>0</v>
      </c>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0</v>
      </c>
      <c r="AT6" s="322"/>
      <c r="AU6" s="322">
        <v>0</v>
      </c>
      <c r="AV6" s="369"/>
      <c r="AW6" s="375"/>
    </row>
    <row r="7" spans="2:49" x14ac:dyDescent="0.2">
      <c r="B7" s="344" t="s">
        <v>279</v>
      </c>
      <c r="C7" s="332" t="s">
        <v>9</v>
      </c>
      <c r="D7" s="319">
        <v>0</v>
      </c>
      <c r="E7" s="320">
        <v>0</v>
      </c>
      <c r="F7" s="320">
        <v>0</v>
      </c>
      <c r="G7" s="321">
        <v>0</v>
      </c>
      <c r="H7" s="321">
        <v>0</v>
      </c>
      <c r="I7" s="319">
        <v>0</v>
      </c>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0</v>
      </c>
      <c r="AT7" s="322"/>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-11520</v>
      </c>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c r="AU9" s="322">
        <v>0</v>
      </c>
      <c r="AV9" s="369"/>
      <c r="AW9" s="375"/>
    </row>
    <row r="10" spans="2:49" ht="25.5" x14ac:dyDescent="0.2">
      <c r="B10" s="346" t="s">
        <v>83</v>
      </c>
      <c r="C10" s="332"/>
      <c r="D10" s="366"/>
      <c r="E10" s="320">
        <v>0</v>
      </c>
      <c r="F10" s="320">
        <v>0</v>
      </c>
      <c r="G10" s="320">
        <v>0</v>
      </c>
      <c r="H10" s="320">
        <v>0</v>
      </c>
      <c r="I10" s="319">
        <v>0</v>
      </c>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404601</v>
      </c>
      <c r="AT11" s="322"/>
      <c r="AU11" s="322">
        <v>0</v>
      </c>
      <c r="AV11" s="369"/>
      <c r="AW11" s="375"/>
    </row>
    <row r="12" spans="2:49" ht="15" customHeight="1" x14ac:dyDescent="0.2">
      <c r="B12" s="344" t="s">
        <v>282</v>
      </c>
      <c r="C12" s="332" t="s">
        <v>44</v>
      </c>
      <c r="D12" s="319">
        <v>0</v>
      </c>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c r="AU12" s="322">
        <v>0</v>
      </c>
      <c r="AV12" s="369"/>
      <c r="AW12" s="375"/>
    </row>
    <row r="13" spans="2:49" x14ac:dyDescent="0.2">
      <c r="B13" s="344" t="s">
        <v>283</v>
      </c>
      <c r="C13" s="332" t="s">
        <v>10</v>
      </c>
      <c r="D13" s="319">
        <v>0</v>
      </c>
      <c r="E13" s="320">
        <v>0</v>
      </c>
      <c r="F13" s="320">
        <v>0</v>
      </c>
      <c r="G13" s="320">
        <v>0</v>
      </c>
      <c r="H13" s="320">
        <v>0</v>
      </c>
      <c r="I13" s="319">
        <v>0</v>
      </c>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c r="AU13" s="322">
        <v>0</v>
      </c>
      <c r="AV13" s="369"/>
      <c r="AW13" s="375"/>
    </row>
    <row r="14" spans="2:49" x14ac:dyDescent="0.2">
      <c r="B14" s="344" t="s">
        <v>284</v>
      </c>
      <c r="C14" s="332" t="s">
        <v>11</v>
      </c>
      <c r="D14" s="319">
        <v>0</v>
      </c>
      <c r="E14" s="320">
        <v>0</v>
      </c>
      <c r="F14" s="320">
        <v>0</v>
      </c>
      <c r="G14" s="320">
        <v>0</v>
      </c>
      <c r="H14" s="320">
        <v>0</v>
      </c>
      <c r="I14" s="319">
        <v>0</v>
      </c>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c r="AU14" s="322">
        <v>0</v>
      </c>
      <c r="AV14" s="369"/>
      <c r="AW14" s="375"/>
    </row>
    <row r="15" spans="2:49" ht="25.5" x14ac:dyDescent="0.2">
      <c r="B15" s="346" t="s">
        <v>285</v>
      </c>
      <c r="C15" s="332"/>
      <c r="D15" s="319">
        <v>0</v>
      </c>
      <c r="E15" s="320">
        <v>0</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42778.9</v>
      </c>
      <c r="F16" s="320">
        <v>0</v>
      </c>
      <c r="G16" s="320">
        <v>0</v>
      </c>
      <c r="H16" s="320">
        <v>0</v>
      </c>
      <c r="I16" s="319">
        <v>42778.9</v>
      </c>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-60818</v>
      </c>
      <c r="F17" s="362">
        <v>0</v>
      </c>
      <c r="G17" s="362">
        <v>0</v>
      </c>
      <c r="H17" s="320">
        <v>0</v>
      </c>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1186.1099999999999</v>
      </c>
      <c r="E18" s="320">
        <v>1186.1099999999999</v>
      </c>
      <c r="F18" s="320">
        <v>0</v>
      </c>
      <c r="G18" s="320">
        <v>0</v>
      </c>
      <c r="H18" s="320">
        <v>0</v>
      </c>
      <c r="I18" s="319">
        <v>1186</v>
      </c>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2623474</v>
      </c>
      <c r="AT18" s="322"/>
      <c r="AU18" s="322">
        <v>68452</v>
      </c>
      <c r="AV18" s="369"/>
      <c r="AW18" s="375"/>
    </row>
    <row r="19" spans="2:49" ht="25.5" x14ac:dyDescent="0.2">
      <c r="B19" s="346" t="s">
        <v>306</v>
      </c>
      <c r="C19" s="332"/>
      <c r="D19" s="319">
        <v>0</v>
      </c>
      <c r="E19" s="320">
        <v>0</v>
      </c>
      <c r="F19" s="320">
        <v>0</v>
      </c>
      <c r="G19" s="320">
        <v>0</v>
      </c>
      <c r="H19" s="320">
        <v>0</v>
      </c>
      <c r="I19" s="319">
        <v>0</v>
      </c>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c r="AU19" s="322">
        <v>0</v>
      </c>
      <c r="AV19" s="369"/>
      <c r="AW19" s="375"/>
    </row>
    <row r="20" spans="2:49" s="6" customFormat="1" ht="25.5" x14ac:dyDescent="0.2">
      <c r="B20" s="346" t="s">
        <v>430</v>
      </c>
      <c r="C20" s="332"/>
      <c r="D20" s="319">
        <v>94693</v>
      </c>
      <c r="E20" s="320">
        <f>D20</f>
        <v>94693</v>
      </c>
      <c r="F20" s="320">
        <v>0</v>
      </c>
      <c r="G20" s="320">
        <v>0</v>
      </c>
      <c r="H20" s="320">
        <v>0</v>
      </c>
      <c r="I20" s="319">
        <f>D20</f>
        <v>94693</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26622</v>
      </c>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1570198645</v>
      </c>
      <c r="AT23" s="322"/>
      <c r="AU23" s="322">
        <v>74536850</v>
      </c>
      <c r="AV23" s="369"/>
      <c r="AW23" s="375"/>
    </row>
    <row r="24" spans="2:49" ht="28.5" customHeight="1" x14ac:dyDescent="0.2">
      <c r="B24" s="346" t="s">
        <v>114</v>
      </c>
      <c r="C24" s="332"/>
      <c r="D24" s="366"/>
      <c r="E24" s="320">
        <v>45615.62</v>
      </c>
      <c r="F24" s="320">
        <v>0</v>
      </c>
      <c r="G24" s="320">
        <v>0</v>
      </c>
      <c r="H24" s="320">
        <v>0</v>
      </c>
      <c r="I24" s="319">
        <v>45615.62</v>
      </c>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108199</v>
      </c>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271292680</v>
      </c>
      <c r="AT26" s="322"/>
      <c r="AU26" s="322">
        <v>21719126</v>
      </c>
      <c r="AV26" s="369"/>
      <c r="AW26" s="375"/>
    </row>
    <row r="27" spans="2:49" s="6" customFormat="1" ht="25.5" x14ac:dyDescent="0.2">
      <c r="B27" s="346" t="s">
        <v>85</v>
      </c>
      <c r="C27" s="332"/>
      <c r="D27" s="366"/>
      <c r="E27" s="320">
        <v>1000</v>
      </c>
      <c r="F27" s="320">
        <v>0</v>
      </c>
      <c r="G27" s="320">
        <v>0</v>
      </c>
      <c r="H27" s="320">
        <v>0</v>
      </c>
      <c r="I27" s="319">
        <v>1000</v>
      </c>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41467</v>
      </c>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192161349</v>
      </c>
      <c r="AT28" s="322"/>
      <c r="AU28" s="322">
        <v>3971535</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c r="AU30" s="322">
        <v>0</v>
      </c>
      <c r="AV30" s="369"/>
      <c r="AW30" s="375"/>
    </row>
    <row r="31" spans="2:49" s="6" customFormat="1" ht="25.5" x14ac:dyDescent="0.2">
      <c r="B31" s="346" t="s">
        <v>84</v>
      </c>
      <c r="C31" s="332"/>
      <c r="D31" s="366"/>
      <c r="E31" s="320">
        <v>0</v>
      </c>
      <c r="F31" s="320">
        <v>0</v>
      </c>
      <c r="G31" s="320">
        <v>0</v>
      </c>
      <c r="H31" s="320">
        <v>0</v>
      </c>
      <c r="I31" s="319">
        <v>0</v>
      </c>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v>0</v>
      </c>
      <c r="AT34" s="322"/>
      <c r="AU34" s="322">
        <v>0</v>
      </c>
      <c r="AV34" s="369"/>
      <c r="AW34" s="375"/>
    </row>
    <row r="35" spans="2:49" s="6" customFormat="1" x14ac:dyDescent="0.2">
      <c r="B35" s="346" t="s">
        <v>91</v>
      </c>
      <c r="C35" s="332"/>
      <c r="D35" s="366"/>
      <c r="E35" s="320">
        <v>0</v>
      </c>
      <c r="F35" s="320">
        <v>0</v>
      </c>
      <c r="G35" s="320">
        <v>0</v>
      </c>
      <c r="H35" s="320">
        <v>0</v>
      </c>
      <c r="I35" s="319">
        <v>0</v>
      </c>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v>0</v>
      </c>
      <c r="AT36" s="322"/>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-11520</v>
      </c>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404601</v>
      </c>
      <c r="AT38" s="322"/>
      <c r="AU38" s="322">
        <v>0</v>
      </c>
      <c r="AV38" s="369"/>
      <c r="AW38" s="375"/>
    </row>
    <row r="39" spans="2:49" ht="28.15" customHeight="1" x14ac:dyDescent="0.2">
      <c r="B39" s="346" t="s">
        <v>86</v>
      </c>
      <c r="C39" s="332"/>
      <c r="D39" s="366"/>
      <c r="E39" s="320">
        <v>0</v>
      </c>
      <c r="F39" s="320">
        <v>0</v>
      </c>
      <c r="G39" s="320">
        <v>0</v>
      </c>
      <c r="H39" s="320">
        <v>0</v>
      </c>
      <c r="I39" s="319">
        <v>0</v>
      </c>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c r="AU41" s="322">
        <v>0</v>
      </c>
      <c r="AV41" s="369"/>
      <c r="AW41" s="375"/>
    </row>
    <row r="42" spans="2:49" s="6" customFormat="1" ht="25.5" x14ac:dyDescent="0.2">
      <c r="B42" s="346" t="s">
        <v>92</v>
      </c>
      <c r="C42" s="332"/>
      <c r="D42" s="366"/>
      <c r="E42" s="320">
        <v>0</v>
      </c>
      <c r="F42" s="320">
        <v>0</v>
      </c>
      <c r="G42" s="320">
        <v>0</v>
      </c>
      <c r="H42" s="320">
        <v>0</v>
      </c>
      <c r="I42" s="319">
        <v>0</v>
      </c>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11236383</v>
      </c>
      <c r="AT45" s="322"/>
      <c r="AU45" s="322">
        <v>94537</v>
      </c>
      <c r="AV45" s="369"/>
      <c r="AW45" s="375"/>
    </row>
    <row r="46" spans="2:49" x14ac:dyDescent="0.2">
      <c r="B46" s="344" t="s">
        <v>116</v>
      </c>
      <c r="C46" s="332" t="s">
        <v>31</v>
      </c>
      <c r="D46" s="319">
        <v>0</v>
      </c>
      <c r="E46" s="320">
        <v>0</v>
      </c>
      <c r="F46" s="320">
        <v>0</v>
      </c>
      <c r="G46" s="320">
        <v>0</v>
      </c>
      <c r="H46" s="320">
        <v>0</v>
      </c>
      <c r="I46" s="319">
        <v>0</v>
      </c>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2590451</v>
      </c>
      <c r="AT46" s="322"/>
      <c r="AU46" s="322">
        <v>66143</v>
      </c>
      <c r="AV46" s="369"/>
      <c r="AW46" s="375"/>
    </row>
    <row r="47" spans="2:49" x14ac:dyDescent="0.2">
      <c r="B47" s="344" t="s">
        <v>117</v>
      </c>
      <c r="C47" s="332" t="s">
        <v>32</v>
      </c>
      <c r="D47" s="319">
        <v>0</v>
      </c>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2357151</v>
      </c>
      <c r="AT47" s="322"/>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439</v>
      </c>
      <c r="E49" s="320">
        <v>718.05</v>
      </c>
      <c r="F49" s="320">
        <v>0</v>
      </c>
      <c r="G49" s="320">
        <v>0</v>
      </c>
      <c r="H49" s="320">
        <v>0</v>
      </c>
      <c r="I49" s="319">
        <v>718.05</v>
      </c>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1835252</v>
      </c>
      <c r="AT49" s="322"/>
      <c r="AU49" s="322">
        <v>747101</v>
      </c>
      <c r="AV49" s="369"/>
      <c r="AW49" s="375"/>
    </row>
    <row r="50" spans="2:49" x14ac:dyDescent="0.2">
      <c r="B50" s="344" t="s">
        <v>119</v>
      </c>
      <c r="C50" s="332" t="s">
        <v>34</v>
      </c>
      <c r="D50" s="319">
        <v>0</v>
      </c>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1152532</v>
      </c>
      <c r="AT50" s="322"/>
      <c r="AU50" s="322">
        <v>775243</v>
      </c>
      <c r="AV50" s="369"/>
      <c r="AW50" s="375"/>
    </row>
    <row r="51" spans="2:49" s="6" customFormat="1" x14ac:dyDescent="0.2">
      <c r="B51" s="344" t="s">
        <v>299</v>
      </c>
      <c r="C51" s="332"/>
      <c r="D51" s="319">
        <v>0</v>
      </c>
      <c r="E51" s="320">
        <v>0</v>
      </c>
      <c r="F51" s="320">
        <v>0</v>
      </c>
      <c r="G51" s="320">
        <v>0</v>
      </c>
      <c r="H51" s="320">
        <v>0</v>
      </c>
      <c r="I51" s="319">
        <v>0</v>
      </c>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c r="AU51" s="322">
        <v>0</v>
      </c>
      <c r="AV51" s="369"/>
      <c r="AW51" s="375"/>
    </row>
    <row r="52" spans="2:49" x14ac:dyDescent="0.2">
      <c r="B52" s="344" t="s">
        <v>300</v>
      </c>
      <c r="C52" s="332" t="s">
        <v>4</v>
      </c>
      <c r="D52" s="319">
        <v>0</v>
      </c>
      <c r="E52" s="320">
        <v>0</v>
      </c>
      <c r="F52" s="320">
        <v>0</v>
      </c>
      <c r="G52" s="320">
        <v>0</v>
      </c>
      <c r="H52" s="320">
        <v>0</v>
      </c>
      <c r="I52" s="319">
        <v>0</v>
      </c>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c r="AU52" s="322">
        <v>0</v>
      </c>
      <c r="AV52" s="369"/>
      <c r="AW52" s="375"/>
    </row>
    <row r="53" spans="2:49" s="6" customFormat="1" x14ac:dyDescent="0.2">
      <c r="B53" s="344" t="s">
        <v>301</v>
      </c>
      <c r="C53" s="332" t="s">
        <v>5</v>
      </c>
      <c r="D53" s="319">
        <v>0</v>
      </c>
      <c r="E53" s="320">
        <v>0</v>
      </c>
      <c r="F53" s="320">
        <v>0</v>
      </c>
      <c r="G53" s="320">
        <v>0</v>
      </c>
      <c r="H53" s="320">
        <v>0</v>
      </c>
      <c r="I53" s="319">
        <v>0</v>
      </c>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c r="AU53" s="322">
        <v>0</v>
      </c>
      <c r="AV53" s="369"/>
      <c r="AW53" s="375"/>
    </row>
    <row r="54" spans="2:49" s="93" customFormat="1" x14ac:dyDescent="0.2">
      <c r="B54" s="349" t="s">
        <v>302</v>
      </c>
      <c r="C54" s="335" t="s">
        <v>77</v>
      </c>
      <c r="D54" s="323">
        <f>D23+D26-D28+D30-D32+D34-D36+D38+D41-D43+D45+D46-D47-D49+D50+D51+D52+D53</f>
        <v>81395</v>
      </c>
      <c r="E54" s="324">
        <f>E24+E27+E31+E35-E36+E39+E42+E45+E46-E49+E51+E52+E53</f>
        <v>45897.57</v>
      </c>
      <c r="F54" s="324">
        <v>0</v>
      </c>
      <c r="G54" s="324">
        <v>0</v>
      </c>
      <c r="H54" s="324">
        <v>0</v>
      </c>
      <c r="I54" s="401">
        <f>I24+I27+I31+I35-I36+I39+I42+I45+I46-I49+I51+I52+I53</f>
        <v>45897.57</v>
      </c>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400">
        <f>AS23+AS26-AS28+AS30-AS32+AS34-AS36+AS38+AS41-AS43+AS45+AS46-AS47-AS49+AS50+AS51+AS52+AS53</f>
        <v>1660521540</v>
      </c>
      <c r="AT54" s="325"/>
      <c r="AU54" s="400">
        <f>AU23+AU26-AU28+AU30-AU32+AU34-AU36+AU38+AU41-AU43+AU45+AU46-AU47-AU49+AU50+AU51+AU52+AU53</f>
        <v>92473263</v>
      </c>
      <c r="AV54" s="369"/>
      <c r="AW54" s="375"/>
    </row>
    <row r="55" spans="2:49" ht="25.5" x14ac:dyDescent="0.2">
      <c r="B55" s="349" t="s">
        <v>493</v>
      </c>
      <c r="C55" s="336" t="s">
        <v>28</v>
      </c>
      <c r="D55" s="323">
        <v>0</v>
      </c>
      <c r="E55" s="324">
        <v>0</v>
      </c>
      <c r="F55" s="324">
        <v>0</v>
      </c>
      <c r="G55" s="324">
        <v>0</v>
      </c>
      <c r="H55" s="324">
        <v>0</v>
      </c>
      <c r="I55" s="323">
        <v>0</v>
      </c>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v>0</v>
      </c>
      <c r="AT55" s="325"/>
      <c r="AU55" s="325">
        <v>0</v>
      </c>
      <c r="AV55" s="369"/>
      <c r="AW55" s="375"/>
    </row>
    <row r="56" spans="2:49" ht="11.85" customHeight="1" x14ac:dyDescent="0.2">
      <c r="B56" s="344" t="s">
        <v>120</v>
      </c>
      <c r="C56" s="336" t="s">
        <v>412</v>
      </c>
      <c r="D56" s="319">
        <v>0</v>
      </c>
      <c r="E56" s="320">
        <v>0</v>
      </c>
      <c r="F56" s="320">
        <v>0</v>
      </c>
      <c r="G56" s="320">
        <v>0</v>
      </c>
      <c r="H56" s="320">
        <v>0</v>
      </c>
      <c r="I56" s="319">
        <v>0</v>
      </c>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c r="AU56" s="322">
        <v>0</v>
      </c>
      <c r="AV56" s="322"/>
      <c r="AW56" s="375"/>
    </row>
    <row r="57" spans="2:49" x14ac:dyDescent="0.2">
      <c r="B57" s="344" t="s">
        <v>121</v>
      </c>
      <c r="C57" s="336" t="s">
        <v>29</v>
      </c>
      <c r="D57" s="319">
        <v>0</v>
      </c>
      <c r="E57" s="320">
        <v>0</v>
      </c>
      <c r="F57" s="320">
        <v>0</v>
      </c>
      <c r="G57" s="320">
        <v>0</v>
      </c>
      <c r="H57" s="320">
        <v>0</v>
      </c>
      <c r="I57" s="319">
        <v>0</v>
      </c>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c r="AU57" s="322">
        <v>0</v>
      </c>
      <c r="AV57" s="322"/>
      <c r="AW57" s="375"/>
    </row>
    <row r="58" spans="2:49" s="6" customFormat="1" x14ac:dyDescent="0.2">
      <c r="B58" s="352" t="s">
        <v>494</v>
      </c>
      <c r="C58" s="353"/>
      <c r="D58" s="354">
        <v>0</v>
      </c>
      <c r="E58" s="355">
        <v>7311.45</v>
      </c>
      <c r="F58" s="355">
        <v>0</v>
      </c>
      <c r="G58" s="355">
        <v>0</v>
      </c>
      <c r="H58" s="355">
        <v>0</v>
      </c>
      <c r="I58" s="354">
        <v>36</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72" yWindow="4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31" sqref="M3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2868</v>
      </c>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2868</v>
      </c>
      <c r="E6" s="401">
        <f>'Pt 1 Summary of Data'!E12+'Pt 1 Summary of Data'!E22</f>
        <v>45897.57</v>
      </c>
      <c r="F6" s="401">
        <f t="shared" ref="F6:F11" si="0">C6+D6+E6</f>
        <v>48765.57</v>
      </c>
      <c r="G6" s="402">
        <f>'Pt 1 Summary of Data'!I12+'Pt 1 Summary of Data'!I22</f>
        <v>45897.57</v>
      </c>
      <c r="H6" s="398"/>
      <c r="I6" s="399"/>
      <c r="J6" s="401"/>
      <c r="K6" s="401"/>
      <c r="L6" s="402">
        <v>0</v>
      </c>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0</v>
      </c>
      <c r="D7" s="399">
        <v>254</v>
      </c>
      <c r="E7" s="401">
        <f>'Pt 1 Summary of Data'!E37+'Pt 1 Summary of Data'!E38+'Pt 1 Summary of Data'!E39+'Pt 1 Summary of Data'!E40+'Pt 1 Summary of Data'!E41+'Pt 1 Summary of Data'!E42</f>
        <v>3431</v>
      </c>
      <c r="F7" s="401">
        <f t="shared" si="0"/>
        <v>3685</v>
      </c>
      <c r="G7" s="402">
        <f>'Pt 1 Summary of Data'!I37+'Pt 1 Summary of Data'!I38+'Pt 1 Summary of Data'!I39+'Pt 1 Summary of Data'!I40+'Pt 1 Summary of Data'!I41+'Pt 1 Summary of Data'!I42</f>
        <v>3431</v>
      </c>
      <c r="H7" s="398"/>
      <c r="I7" s="399"/>
      <c r="J7" s="401"/>
      <c r="K7" s="401"/>
      <c r="L7" s="402">
        <v>0</v>
      </c>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22.62</v>
      </c>
      <c r="E8" s="401">
        <f>'Pt 2 Premium and Claims'!E58</f>
        <v>7311.45</v>
      </c>
      <c r="F8" s="401">
        <f t="shared" si="0"/>
        <v>7334.07</v>
      </c>
      <c r="G8" s="402">
        <f>'Pt 2 Premium and Claims'!I58</f>
        <v>36</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f>'Pt 2 Premium and Claims'!E15</f>
        <v>0</v>
      </c>
      <c r="F9" s="401">
        <f t="shared" si="0"/>
        <v>0</v>
      </c>
      <c r="G9" s="402">
        <f>'Pt 2 Premium and Claims'!I15</f>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-23501</v>
      </c>
      <c r="E10" s="401">
        <f>'Pt 2 Premium and Claims'!E16</f>
        <v>42778.9</v>
      </c>
      <c r="F10" s="401">
        <f t="shared" si="0"/>
        <v>19277.900000000001</v>
      </c>
      <c r="G10" s="402">
        <f>'Pt 2 Premium and Claims'!I16</f>
        <v>42778.9</v>
      </c>
      <c r="H10" s="444"/>
      <c r="I10" s="399"/>
      <c r="J10" s="401"/>
      <c r="K10" s="401"/>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-11520</v>
      </c>
      <c r="E11" s="401">
        <f>'Pt 2 Premium and Claims'!E17</f>
        <v>-60818</v>
      </c>
      <c r="F11" s="401">
        <f t="shared" si="0"/>
        <v>-72338</v>
      </c>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f>D6+D7-D8-D9-D10-D11</f>
        <v>38120.380000000005</v>
      </c>
      <c r="E12" s="401">
        <f>E6+E7-E8-E9-E10-E11</f>
        <v>60056.22</v>
      </c>
      <c r="F12" s="401">
        <f>F6+F7-F8-F9-F10-F11</f>
        <v>98176.6</v>
      </c>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47732</v>
      </c>
      <c r="E15" s="396">
        <f>('Pt 1 Summary of Data'!E5+'Pt 1 Summary of Data'!E6+'Pt 1 Summary of Data'!E7)-('Pt 3 MLR and Rebate Calculation'!E9+'Pt 3 MLR and Rebate Calculation'!E10+'Pt 3 MLR and Rebate Calculation'!E11)</f>
        <v>121830</v>
      </c>
      <c r="F15" s="396">
        <f>C15+D15+E15</f>
        <v>169562</v>
      </c>
      <c r="G15" s="396">
        <f>('Pt 1 Summary of Data'!I5+'Pt 1 Summary of Data'!I6+'Pt 1 Summary of Data'!I7)-('Pt 3 MLR and Rebate Calculation'!G9+'Pt 3 MLR and Rebate Calculation'!G10)</f>
        <v>121830</v>
      </c>
      <c r="H15" s="403"/>
      <c r="I15" s="404"/>
      <c r="J15" s="396"/>
      <c r="K15" s="396"/>
      <c r="L15" s="397">
        <v>0</v>
      </c>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0</v>
      </c>
      <c r="D16" s="399">
        <v>3416</v>
      </c>
      <c r="E16" s="401">
        <f>'Pt 1 Summary of Data'!E25+'Pt 1 Summary of Data'!E26+'Pt 1 Summary of Data'!E27+'Pt 1 Summary of Data'!E28+'Pt 1 Summary of Data'!E30+'Pt 1 Summary of Data'!E34+'Pt 1 Summary of Data'!E35</f>
        <v>13371.68</v>
      </c>
      <c r="F16" s="401">
        <f>C16+D16+E16</f>
        <v>16787.68</v>
      </c>
      <c r="G16" s="402">
        <f>'Pt 1 Summary of Data'!I25+'Pt 1 Summary of Data'!I26+'Pt 1 Summary of Data'!I27+'Pt 1 Summary of Data'!I28+'Pt 1 Summary of Data'!I30+'Pt 1 Summary of Data'!I31+'Pt 1 Summary of Data'!I34+'Pt 1 Summary of Data'!I35</f>
        <v>13371.68</v>
      </c>
      <c r="H16" s="398"/>
      <c r="I16" s="399"/>
      <c r="J16" s="401"/>
      <c r="K16" s="401"/>
      <c r="L16" s="402">
        <v>0</v>
      </c>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f>C15-C16</f>
        <v>0</v>
      </c>
      <c r="D17" s="401">
        <f>D15-D16</f>
        <v>44316</v>
      </c>
      <c r="E17" s="401">
        <f>E15-E16</f>
        <v>108458.32</v>
      </c>
      <c r="F17" s="401">
        <f>+C17+D17+E17</f>
        <v>152774.32</v>
      </c>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f>G6+G7-G8-G9-G10+G58</f>
        <v>6513.6699999999983</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f>'Pt 1 Summary of Data'!I44+'Pt 1 Summary of Data'!I45+'Pt 1 Summary of Data'!I46+'Pt 1 Summary of Data'!I47+'Pt 1 Summary of Data'!I49+'Pt 1 Summary of Data'!I50+'Pt 1 Summary of Data'!I51</f>
        <v>911</v>
      </c>
      <c r="H20" s="444"/>
      <c r="I20" s="442"/>
      <c r="J20" s="442"/>
      <c r="K20" s="442"/>
      <c r="L20" s="402">
        <v>0</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f>G22</f>
        <v>101033.65</v>
      </c>
      <c r="H21" s="444"/>
      <c r="I21" s="442"/>
      <c r="J21" s="442"/>
      <c r="K21" s="442"/>
      <c r="L21" s="402">
        <v>0</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f>G15-G19-G16-G20</f>
        <v>101033.65</v>
      </c>
      <c r="H22" s="444"/>
      <c r="I22" s="442"/>
      <c r="J22" s="442"/>
      <c r="K22" s="442"/>
      <c r="L22" s="402">
        <v>0</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1">
        <f>0.05*(G15-G16)</f>
        <v>5422.9160000000011</v>
      </c>
      <c r="H23" s="444"/>
      <c r="I23" s="442"/>
      <c r="J23" s="442"/>
      <c r="K23" s="442"/>
      <c r="L23" s="402">
        <v>0</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1">
        <f>((3%*(G15-G16)))</f>
        <v>3253.7496000000001</v>
      </c>
      <c r="H24" s="444"/>
      <c r="I24" s="442"/>
      <c r="J24" s="442"/>
      <c r="K24" s="442"/>
      <c r="L24" s="402">
        <v>0</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f>G27</f>
        <v>37232.510399999999</v>
      </c>
      <c r="H25" s="444"/>
      <c r="I25" s="442"/>
      <c r="J25" s="442"/>
      <c r="K25" s="442"/>
      <c r="L25" s="402">
        <v>0</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f>G20+G21+G16</f>
        <v>115316.32999999999</v>
      </c>
      <c r="H26" s="444"/>
      <c r="I26" s="442"/>
      <c r="J26" s="442"/>
      <c r="K26" s="442"/>
      <c r="L26" s="402">
        <v>0</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f>((20%+2%)*(G15-G16)+G16)</f>
        <v>37232.510399999999</v>
      </c>
      <c r="H27" s="444"/>
      <c r="I27" s="442"/>
      <c r="J27" s="442"/>
      <c r="K27" s="442"/>
      <c r="L27" s="402">
        <v>0</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f>G15-G25</f>
        <v>84597.489600000001</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f>G32</f>
        <v>35063.344000000005</v>
      </c>
      <c r="H29" s="444"/>
      <c r="I29" s="442"/>
      <c r="J29" s="442"/>
      <c r="K29" s="442"/>
      <c r="L29" s="402">
        <v>0</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f>G22</f>
        <v>101033.65</v>
      </c>
      <c r="H30" s="444"/>
      <c r="I30" s="442"/>
      <c r="J30" s="442"/>
      <c r="K30" s="442"/>
      <c r="L30" s="472">
        <v>0</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f>G20+G30+G16</f>
        <v>115316.32999999999</v>
      </c>
      <c r="H31" s="444"/>
      <c r="I31" s="442"/>
      <c r="J31" s="442"/>
      <c r="K31" s="442"/>
      <c r="L31" s="402">
        <v>0</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f>(20%*(G15-G16)+G16)</f>
        <v>35063.344000000005</v>
      </c>
      <c r="H32" s="444"/>
      <c r="I32" s="442"/>
      <c r="J32" s="442"/>
      <c r="K32" s="442"/>
      <c r="L32" s="402">
        <v>0</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f>G15-G29</f>
        <v>86766.655999999988</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f>G19/G33</f>
        <v>7.5071119486269003E-2</v>
      </c>
      <c r="H34" s="463"/>
      <c r="I34" s="464"/>
      <c r="J34" s="464"/>
      <c r="K34" s="464"/>
      <c r="L34" s="470">
        <v>0</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-60818</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-60818</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11</v>
      </c>
      <c r="E38" s="433">
        <f>'Pt 1 Summary of Data'!E60</f>
        <v>24</v>
      </c>
      <c r="F38" s="433">
        <f>C38+D38+E38</f>
        <v>35</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0</v>
      </c>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7"/>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0</v>
      </c>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v>
      </c>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v>
      </c>
      <c r="D50" s="408">
        <v>0.8</v>
      </c>
      <c r="E50" s="408">
        <v>0.8</v>
      </c>
      <c r="F50" s="408">
        <v>0.8</v>
      </c>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0</v>
      </c>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v>0</v>
      </c>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v>0</v>
      </c>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v>0</v>
      </c>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v>0</v>
      </c>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v>0</v>
      </c>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v>0</v>
      </c>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39" yWindow="16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c r="D4" s="105"/>
      <c r="E4" s="105"/>
      <c r="F4" s="105"/>
      <c r="G4" s="105"/>
      <c r="H4" s="105"/>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7" sqref="B57"/>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502</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502</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502</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502</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502</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Natalia Dobrovolschi</cp:lastModifiedBy>
  <cp:lastPrinted>2016-07-28T17:59:53Z</cp:lastPrinted>
  <dcterms:created xsi:type="dcterms:W3CDTF">2012-03-15T16:14:51Z</dcterms:created>
  <dcterms:modified xsi:type="dcterms:W3CDTF">2016-07-29T14:03:32Z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