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F11" i="16" l="1"/>
  <c r="K4" i="16"/>
  <c r="H4" i="16"/>
  <c r="G4" i="16"/>
  <c r="F4" i="16"/>
  <c r="E4" i="16"/>
  <c r="D4" i="16"/>
  <c r="C4" i="16"/>
  <c r="L58" i="10"/>
  <c r="G58" i="10"/>
  <c r="AN53" i="10"/>
  <c r="AB53" i="10"/>
  <c r="X53" i="10"/>
  <c r="T53" i="10"/>
  <c r="P53" i="10"/>
  <c r="E11" i="16" s="1"/>
  <c r="AN52" i="10"/>
  <c r="AB52" i="10"/>
  <c r="X52" i="10"/>
  <c r="T52" i="10"/>
  <c r="P52" i="10"/>
  <c r="AN51" i="10"/>
  <c r="AB51" i="10"/>
  <c r="X51" i="10"/>
  <c r="T51" i="10"/>
  <c r="AN48" i="10"/>
  <c r="AB48" i="10"/>
  <c r="X48" i="10"/>
  <c r="T48" i="10"/>
  <c r="AN47" i="10"/>
  <c r="AB47" i="10"/>
  <c r="X47" i="10"/>
  <c r="T47" i="10"/>
  <c r="AN46" i="10"/>
  <c r="AM46" i="10"/>
  <c r="AL46" i="10"/>
  <c r="AK46" i="10"/>
  <c r="AB46" i="10"/>
  <c r="AA46" i="10"/>
  <c r="Z46" i="10"/>
  <c r="Y46" i="10"/>
  <c r="X46" i="10"/>
  <c r="W46" i="10"/>
  <c r="V46" i="10"/>
  <c r="U46" i="10"/>
  <c r="T46" i="10"/>
  <c r="S46" i="10"/>
  <c r="R46" i="10"/>
  <c r="Q46" i="10"/>
  <c r="P45" i="10"/>
  <c r="P48" i="10" s="1"/>
  <c r="P51" i="10" s="1"/>
  <c r="O45" i="10"/>
  <c r="N45" i="10"/>
  <c r="M45" i="10"/>
  <c r="AN42" i="10"/>
  <c r="AB42" i="10"/>
  <c r="X42" i="10"/>
  <c r="T42" i="10"/>
  <c r="P42" i="10"/>
  <c r="AN41" i="10"/>
  <c r="AB41" i="10"/>
  <c r="X41" i="10"/>
  <c r="T41" i="10"/>
  <c r="P41" i="10"/>
  <c r="K41" i="10"/>
  <c r="F41" i="10"/>
  <c r="AN39" i="10"/>
  <c r="X39" i="10"/>
  <c r="AN38" i="10"/>
  <c r="AM38" i="10"/>
  <c r="AB38" i="10"/>
  <c r="AA38" i="10"/>
  <c r="X38" i="10"/>
  <c r="W38" i="10"/>
  <c r="T38" i="10"/>
  <c r="S38" i="10"/>
  <c r="P38" i="10"/>
  <c r="O38" i="10"/>
  <c r="L32" i="10"/>
  <c r="L27" i="10"/>
  <c r="L24" i="10"/>
  <c r="L23" i="10"/>
  <c r="L22" i="10"/>
  <c r="L30" i="10" s="1"/>
  <c r="L31" i="10" s="1"/>
  <c r="L20" i="10"/>
  <c r="L19" i="10"/>
  <c r="AN17" i="10"/>
  <c r="AM17" i="10"/>
  <c r="AL17" i="10"/>
  <c r="AK17" i="10"/>
  <c r="AB17" i="10"/>
  <c r="AA17" i="10"/>
  <c r="Z17" i="10"/>
  <c r="Y17" i="10"/>
  <c r="X17" i="10"/>
  <c r="W17" i="10"/>
  <c r="V17" i="10"/>
  <c r="U17" i="10"/>
  <c r="T17" i="10"/>
  <c r="S17" i="10"/>
  <c r="R17" i="10"/>
  <c r="Q17" i="10"/>
  <c r="P17" i="10"/>
  <c r="O17" i="10"/>
  <c r="N17" i="10"/>
  <c r="M17" i="10"/>
  <c r="AN16" i="10"/>
  <c r="AM16" i="10"/>
  <c r="AB16" i="10"/>
  <c r="AA16" i="10"/>
  <c r="X16" i="10"/>
  <c r="W16" i="10"/>
  <c r="V13" i="10" s="1"/>
  <c r="T16" i="10"/>
  <c r="S16" i="10"/>
  <c r="P16" i="10"/>
  <c r="O16" i="10"/>
  <c r="L16" i="10"/>
  <c r="K16" i="10"/>
  <c r="J16" i="10"/>
  <c r="G16" i="10"/>
  <c r="F16" i="10"/>
  <c r="E16" i="10"/>
  <c r="AN15" i="10"/>
  <c r="AM15" i="10"/>
  <c r="AB15" i="10"/>
  <c r="AA15" i="10"/>
  <c r="X15" i="10"/>
  <c r="W15" i="10"/>
  <c r="T15" i="10"/>
  <c r="S15" i="10"/>
  <c r="P15" i="10"/>
  <c r="O15" i="10"/>
  <c r="L15" i="10"/>
  <c r="AN13" i="10"/>
  <c r="AM13" i="10"/>
  <c r="AL13" i="10"/>
  <c r="AK13" i="10"/>
  <c r="AB13" i="10"/>
  <c r="AA13" i="10"/>
  <c r="Z13" i="10"/>
  <c r="Y13" i="10"/>
  <c r="W13" i="10"/>
  <c r="U13" i="10"/>
  <c r="S13" i="10"/>
  <c r="R13" i="10"/>
  <c r="Q13" i="10"/>
  <c r="P12" i="10"/>
  <c r="O12" i="10"/>
  <c r="N12" i="10"/>
  <c r="M12" i="10"/>
  <c r="K11" i="10"/>
  <c r="J11" i="10"/>
  <c r="F11" i="10"/>
  <c r="E11" i="10"/>
  <c r="L10" i="10"/>
  <c r="K10" i="10"/>
  <c r="J10" i="10"/>
  <c r="G10" i="10"/>
  <c r="F10" i="10"/>
  <c r="E10" i="10"/>
  <c r="G9" i="10"/>
  <c r="F9" i="10"/>
  <c r="E9" i="10"/>
  <c r="G8" i="10"/>
  <c r="F8" i="10"/>
  <c r="E8" i="10"/>
  <c r="AN7" i="10"/>
  <c r="AM7" i="10"/>
  <c r="AB7" i="10"/>
  <c r="AA7" i="10"/>
  <c r="X7" i="10"/>
  <c r="W7" i="10"/>
  <c r="T7" i="10"/>
  <c r="S7" i="10"/>
  <c r="P7" i="10"/>
  <c r="O7" i="10"/>
  <c r="L7" i="10"/>
  <c r="AN6" i="10"/>
  <c r="AM6" i="10"/>
  <c r="AB6" i="10"/>
  <c r="AA6" i="10"/>
  <c r="X6" i="10"/>
  <c r="W6" i="10"/>
  <c r="T6" i="10"/>
  <c r="S6" i="10"/>
  <c r="P6" i="10"/>
  <c r="O6" i="10"/>
  <c r="L6" i="10"/>
  <c r="K6" i="10"/>
  <c r="J6" i="10"/>
  <c r="G6" i="10"/>
  <c r="F6" i="10"/>
  <c r="E6" i="10"/>
  <c r="AU55" i="18"/>
  <c r="AT55" i="18"/>
  <c r="AS55" i="18"/>
  <c r="AR55" i="18"/>
  <c r="AQ55" i="18"/>
  <c r="AP55" i="18"/>
  <c r="AO55" i="18"/>
  <c r="AN55" i="18"/>
  <c r="AC55" i="18"/>
  <c r="AC22" i="4" s="1"/>
  <c r="AB55" i="18"/>
  <c r="AB22" i="4" s="1"/>
  <c r="AA55" i="18"/>
  <c r="AA22" i="4" s="1"/>
  <c r="Z55" i="18"/>
  <c r="Z22" i="4" s="1"/>
  <c r="Y55" i="18"/>
  <c r="X55" i="18"/>
  <c r="W55" i="18"/>
  <c r="V55" i="18"/>
  <c r="U55" i="18"/>
  <c r="T55" i="18"/>
  <c r="S55" i="18"/>
  <c r="S22" i="4" s="1"/>
  <c r="R55" i="18"/>
  <c r="R22" i="4" s="1"/>
  <c r="Q55" i="18"/>
  <c r="Q22" i="4" s="1"/>
  <c r="P55" i="18"/>
  <c r="P22" i="4" s="1"/>
  <c r="O55" i="18"/>
  <c r="O22" i="4" s="1"/>
  <c r="N55" i="18"/>
  <c r="N22" i="4" s="1"/>
  <c r="M55" i="18"/>
  <c r="M22" i="4" s="1"/>
  <c r="L55" i="18"/>
  <c r="L22" i="4" s="1"/>
  <c r="K55" i="18"/>
  <c r="K22" i="4" s="1"/>
  <c r="J55" i="18"/>
  <c r="J22" i="4" s="1"/>
  <c r="I55" i="18"/>
  <c r="I22" i="4" s="1"/>
  <c r="H55" i="18"/>
  <c r="H22" i="4" s="1"/>
  <c r="G55" i="18"/>
  <c r="G22" i="4" s="1"/>
  <c r="F55" i="18"/>
  <c r="F22" i="4" s="1"/>
  <c r="E55" i="18"/>
  <c r="E22" i="4" s="1"/>
  <c r="D55" i="18"/>
  <c r="D22" i="4" s="1"/>
  <c r="AU54" i="18"/>
  <c r="AU12" i="4" s="1"/>
  <c r="AT54" i="18"/>
  <c r="AT12" i="4" s="1"/>
  <c r="AS54" i="18"/>
  <c r="AS12" i="4" s="1"/>
  <c r="AR54" i="18"/>
  <c r="AR12" i="4" s="1"/>
  <c r="AQ54" i="18"/>
  <c r="AQ12" i="4" s="1"/>
  <c r="AP54" i="18"/>
  <c r="AP12" i="4" s="1"/>
  <c r="AO54" i="18"/>
  <c r="AN54" i="18"/>
  <c r="AN12" i="4" s="1"/>
  <c r="AC54" i="18"/>
  <c r="AC12" i="4" s="1"/>
  <c r="AB54" i="18"/>
  <c r="AB12" i="4" s="1"/>
  <c r="AA54" i="18"/>
  <c r="AA12" i="4" s="1"/>
  <c r="Z54" i="18"/>
  <c r="Z12" i="4" s="1"/>
  <c r="Y54" i="18"/>
  <c r="Y12" i="4" s="1"/>
  <c r="X54" i="18"/>
  <c r="X12" i="4" s="1"/>
  <c r="W54" i="18"/>
  <c r="W12" i="4" s="1"/>
  <c r="V54" i="18"/>
  <c r="U54" i="18"/>
  <c r="T54" i="18"/>
  <c r="S54" i="18"/>
  <c r="R54" i="18"/>
  <c r="Q54" i="18"/>
  <c r="Q12" i="4" s="1"/>
  <c r="P54" i="18"/>
  <c r="P12" i="4" s="1"/>
  <c r="O54" i="18"/>
  <c r="O12" i="4" s="1"/>
  <c r="N54" i="18"/>
  <c r="N12" i="4" s="1"/>
  <c r="M54" i="18"/>
  <c r="L54" i="18"/>
  <c r="L12" i="4" s="1"/>
  <c r="K54" i="18"/>
  <c r="K12" i="4" s="1"/>
  <c r="J54" i="18"/>
  <c r="J12" i="4" s="1"/>
  <c r="I54" i="18"/>
  <c r="I12" i="4" s="1"/>
  <c r="H54" i="18"/>
  <c r="H12" i="4" s="1"/>
  <c r="G54" i="18"/>
  <c r="F54" i="18"/>
  <c r="E54" i="18"/>
  <c r="D54" i="18"/>
  <c r="AV60" i="4"/>
  <c r="AU60" i="4"/>
  <c r="AT60" i="4"/>
  <c r="AS60" i="4"/>
  <c r="AR60" i="4"/>
  <c r="AQ60" i="4"/>
  <c r="AP60" i="4"/>
  <c r="AO60" i="4"/>
  <c r="AN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T22" i="4"/>
  <c r="AS22" i="4"/>
  <c r="AR22" i="4"/>
  <c r="AQ22" i="4"/>
  <c r="AP22" i="4"/>
  <c r="AO22" i="4"/>
  <c r="AN22" i="4"/>
  <c r="Y22" i="4"/>
  <c r="X22" i="4"/>
  <c r="W22" i="4"/>
  <c r="V22" i="4"/>
  <c r="U22" i="4"/>
  <c r="T22" i="4"/>
  <c r="AO12" i="4"/>
  <c r="V12" i="4"/>
  <c r="U12" i="4"/>
  <c r="T12" i="4"/>
  <c r="S12" i="4"/>
  <c r="R12" i="4"/>
  <c r="M12" i="4"/>
  <c r="G12" i="4"/>
  <c r="F12" i="4"/>
  <c r="E12" i="4"/>
  <c r="D12" i="4"/>
  <c r="AU5" i="4"/>
  <c r="AT5" i="4"/>
  <c r="AS5" i="4"/>
  <c r="AR5" i="4"/>
  <c r="AQ5" i="4"/>
  <c r="AP5" i="4"/>
  <c r="AO5" i="4"/>
  <c r="AN5" i="4"/>
  <c r="AC5" i="4"/>
  <c r="AB5" i="4"/>
  <c r="AA5" i="4"/>
  <c r="Z5" i="4"/>
  <c r="Y5" i="4"/>
  <c r="X5" i="4"/>
  <c r="W5" i="4"/>
  <c r="V5" i="4"/>
  <c r="U5" i="4"/>
  <c r="T5" i="4"/>
  <c r="S5" i="4"/>
  <c r="R5" i="4"/>
  <c r="Q5" i="4"/>
  <c r="P5" i="4"/>
  <c r="O5" i="4"/>
  <c r="N5" i="4"/>
  <c r="M5" i="4"/>
  <c r="L5" i="4"/>
  <c r="K5" i="4"/>
  <c r="J15" i="10" s="1"/>
  <c r="J5" i="4"/>
  <c r="I5" i="4"/>
  <c r="G7" i="10" s="1"/>
  <c r="H5" i="4"/>
  <c r="G5" i="4"/>
  <c r="F5" i="4"/>
  <c r="E5" i="4"/>
  <c r="E15" i="10" s="1"/>
  <c r="D5" i="4"/>
  <c r="F15" i="10" l="1"/>
  <c r="K15" i="10"/>
  <c r="J7" i="10"/>
  <c r="G15" i="10"/>
  <c r="G19" i="10" s="1"/>
  <c r="E7" i="10"/>
  <c r="P47" i="10"/>
  <c r="AB39" i="10"/>
  <c r="T39" i="10"/>
  <c r="P39" i="10"/>
  <c r="L29" i="10"/>
  <c r="L33" i="10" s="1"/>
  <c r="L34" i="10" s="1"/>
  <c r="L21" i="10"/>
  <c r="L26" i="10" s="1"/>
  <c r="L25" i="10" s="1"/>
  <c r="L28" i="10" s="1"/>
  <c r="T13" i="10"/>
  <c r="X13" i="10"/>
  <c r="K7" i="10" l="1"/>
  <c r="J12" i="10" s="1"/>
  <c r="H17" i="10"/>
  <c r="H12" i="10"/>
  <c r="I17" i="10"/>
  <c r="I45" i="10" s="1"/>
  <c r="G32" i="10"/>
  <c r="G24" i="10"/>
  <c r="G27" i="10"/>
  <c r="G23" i="10"/>
  <c r="G20" i="10"/>
  <c r="G22" i="10" s="1"/>
  <c r="I12" i="10"/>
  <c r="J17" i="10"/>
  <c r="F7" i="10"/>
  <c r="E12" i="10"/>
  <c r="K17" i="10"/>
  <c r="G30" i="10" l="1"/>
  <c r="G31" i="10" s="1"/>
  <c r="G29" i="10" s="1"/>
  <c r="G33" i="10" s="1"/>
  <c r="G34" i="10" s="1"/>
  <c r="G21" i="10"/>
  <c r="G26" i="10" s="1"/>
  <c r="G25" i="10" s="1"/>
  <c r="G28" i="10" s="1"/>
  <c r="C12" i="10"/>
  <c r="D12" i="10"/>
  <c r="H45" i="10"/>
  <c r="K12" i="10"/>
  <c r="C17" i="10"/>
  <c r="C45" i="10" s="1"/>
  <c r="D17" i="10"/>
  <c r="D45" i="10" s="1"/>
  <c r="F17" i="10"/>
  <c r="E17" i="10"/>
  <c r="E38" i="10"/>
  <c r="J38" i="10"/>
  <c r="K38" i="10" l="1"/>
  <c r="J45" i="10"/>
  <c r="E45" i="10"/>
  <c r="F39" i="10" s="1"/>
  <c r="F38" i="10"/>
  <c r="F12" i="10"/>
  <c r="F52" i="10" l="1"/>
  <c r="F53" i="10"/>
  <c r="C11" i="16" s="1"/>
  <c r="F45" i="10"/>
  <c r="F42" i="10"/>
  <c r="K53" i="10"/>
  <c r="D11" i="16" s="1"/>
  <c r="K45" i="10"/>
  <c r="K39" i="10"/>
  <c r="K42" i="10"/>
  <c r="K52" i="10"/>
  <c r="K48" i="10" l="1"/>
  <c r="K51" i="10" s="1"/>
  <c r="K47" i="10"/>
  <c r="F48" i="10"/>
  <c r="F51" i="10" s="1"/>
  <c r="F47" i="10"/>
</calcChain>
</file>

<file path=xl/sharedStrings.xml><?xml version="1.0" encoding="utf-8"?>
<sst xmlns="http://schemas.openxmlformats.org/spreadsheetml/2006/main" count="627" uniqueCount="528">
  <si>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</si>
  <si>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</si>
  <si>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</si>
  <si>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</si>
  <si>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</si>
  <si>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</si>
  <si>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</si>
  <si>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</si>
  <si>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</si>
  <si>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</si>
  <si>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</si>
  <si>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</si>
  <si>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</si>
  <si>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</si>
  <si>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</si>
  <si>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</si>
  <si>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</si>
  <si>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</si>
  <si>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</si>
  <si>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</si>
  <si>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</si>
  <si>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</si>
  <si>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</si>
  <si>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</si>
  <si>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</si>
  <si>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</si>
  <si>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</si>
  <si>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</si>
  <si>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</si>
  <si>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</si>
  <si>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</si>
  <si>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</si>
  <si>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</si>
  <si>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</si>
  <si>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</si>
  <si>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</si>
  <si>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</si>
  <si>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</si>
  <si>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</si>
  <si>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</si>
  <si>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</si>
  <si>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</si>
  <si>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</si>
  <si>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</si>
  <si>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</si>
  <si>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</si>
  <si>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</si>
  <si>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</si>
  <si>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</si>
  <si>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</si>
  <si>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</si>
  <si>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</si>
  <si>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</si>
  <si>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</si>
  <si>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</si>
  <si>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</si>
  <si>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</si>
  <si>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</si>
  <si>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</si>
  <si>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</si>
  <si>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</si>
  <si>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</si>
  <si>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</si>
  <si>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</si>
  <si>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</si>
  <si>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</si>
  <si>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</si>
  <si>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</si>
  <si>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</si>
  <si>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</si>
  <si>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</si>
  <si>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</si>
  <si>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</si>
  <si>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</si>
  <si>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</si>
  <si>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</si>
  <si>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</si>
  <si>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</si>
  <si>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</si>
  <si>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</si>
  <si>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</si>
  <si>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</si>
  <si>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</si>
  <si>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</si>
  <si>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</si>
  <si>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</si>
  <si>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</si>
  <si>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</si>
  <si>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</si>
  <si>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</si>
  <si>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</si>
  <si>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</si>
  <si>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</si>
  <si>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</si>
  <si>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</si>
  <si>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</si>
  <si>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</si>
  <si>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</si>
  <si>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</si>
  <si>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</si>
  <si>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</si>
  <si>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</si>
  <si>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</si>
  <si>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</si>
  <si>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</si>
  <si>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</si>
  <si>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</si>
  <si>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</si>
  <si>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</si>
  <si>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</si>
  <si>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</si>
  <si>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</si>
  <si>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</si>
  <si>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</si>
  <si>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</si>
  <si>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</si>
  <si>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</si>
  <si>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</si>
  <si>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</si>
  <si>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</si>
  <si>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</si>
  <si>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</si>
  <si>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</si>
  <si>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</si>
  <si>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</si>
  <si>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</si>
  <si>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</si>
  <si>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</si>
  <si>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</si>
  <si>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</si>
  <si>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</si>
  <si>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</si>
  <si>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</si>
  <si>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</si>
  <si>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</si>
  <si>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</si>
  <si>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</si>
  <si>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</si>
  <si>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</si>
  <si>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</si>
  <si>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</si>
  <si>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</si>
  <si>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</si>
  <si>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</si>
  <si>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</si>
  <si>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</si>
  <si>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</si>
  <si>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</si>
  <si>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</si>
  <si>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</si>
  <si>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</si>
  <si>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</si>
  <si>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</si>
  <si>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</si>
  <si>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</si>
  <si>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</si>
  <si>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</si>
  <si>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</si>
  <si>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</si>
  <si>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</si>
  <si>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</si>
  <si>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</si>
  <si>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</si>
  <si>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</si>
  <si>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</si>
  <si>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</si>
  <si>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</si>
  <si>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</si>
  <si>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</si>
  <si>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</si>
  <si>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</si>
  <si>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</si>
  <si>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</si>
  <si>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</si>
  <si>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</si>
  <si>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</si>
  <si>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</si>
  <si>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</si>
  <si>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</si>
  <si>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</si>
  <si>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</si>
  <si>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</si>
  <si>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</si>
  <si>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</si>
  <si>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</si>
  <si>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</si>
  <si>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</si>
  <si>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</si>
  <si>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</si>
  <si>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</si>
  <si>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</si>
  <si>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</si>
  <si>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</si>
  <si>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</si>
  <si>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</si>
  <si>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</si>
  <si>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</si>
  <si>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</si>
  <si>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</si>
  <si>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</si>
  <si>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</si>
  <si>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</si>
  <si>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</si>
  <si>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</si>
  <si>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</si>
  <si>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</si>
  <si>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</si>
  <si>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</si>
  <si>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</si>
  <si>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</si>
  <si>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</si>
  <si>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</si>
  <si>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</si>
  <si>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</si>
  <si>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</si>
  <si>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</si>
  <si>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</si>
  <si>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</si>
  <si>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</si>
  <si>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</si>
  <si>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</si>
  <si>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</si>
  <si>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</si>
  <si>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</si>
  <si>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</si>
  <si>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</si>
  <si>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</si>
  <si>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</si>
  <si>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</si>
  <si>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</si>
  <si>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</si>
  <si>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</si>
  <si>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</si>
  <si>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</si>
  <si>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</si>
  <si>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</si>
  <si>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</si>
  <si>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</si>
  <si>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</si>
  <si>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</si>
  <si>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</si>
  <si>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</si>
  <si>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</si>
  <si>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</si>
  <si>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</si>
  <si>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</si>
  <si>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</si>
  <si>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</si>
  <si>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</si>
  <si>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</si>
  <si>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</si>
  <si>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</si>
  <si>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</si>
  <si>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</si>
  <si>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</si>
  <si>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</si>
  <si>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</si>
  <si>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</si>
  <si>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</si>
  <si>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</si>
  <si>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</si>
  <si>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</si>
  <si>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</si>
  <si>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</si>
  <si>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</si>
  <si>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</si>
  <si>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</si>
  <si>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</si>
  <si>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</si>
  <si>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</si>
  <si>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</si>
  <si>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</si>
  <si>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</si>
  <si>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</si>
  <si>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</si>
  <si>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</si>
  <si>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</si>
  <si>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</si>
  <si>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</si>
  <si>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</si>
  <si>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</si>
  <si>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</si>
  <si>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</si>
  <si>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</si>
  <si>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</si>
  <si>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</si>
  <si>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</si>
  <si>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</si>
  <si>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</si>
  <si>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</si>
  <si>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</si>
  <si>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</si>
  <si>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</si>
  <si>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</si>
  <si>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</si>
  <si>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</si>
  <si>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</si>
  <si>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</si>
  <si>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</si>
  <si>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</si>
  <si>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</si>
  <si>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</si>
  <si>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</si>
  <si>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</si>
  <si>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</si>
  <si>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</si>
  <si>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</si>
  <si>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</si>
  <si>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</si>
  <si>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</si>
  <si>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</si>
  <si>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</si>
  <si>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</si>
  <si>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</si>
  <si>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</si>
  <si>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</si>
  <si>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</si>
  <si>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</si>
  <si>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</si>
  <si>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</si>
  <si>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</si>
  <si>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</si>
  <si>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</si>
  <si>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</si>
  <si>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</si>
  <si>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</si>
  <si>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</si>
  <si>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</si>
  <si>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</si>
  <si>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</si>
  <si>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</si>
  <si>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</si>
  <si>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</si>
  <si>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</si>
  <si>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</si>
  <si>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</si>
  <si>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</si>
  <si>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</si>
  <si>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</si>
  <si>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</si>
  <si>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</si>
  <si>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</si>
  <si>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</si>
  <si>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</si>
  <si>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</si>
  <si>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</si>
  <si>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</si>
  <si>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</si>
  <si>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</si>
  <si>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</si>
  <si>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</si>
  <si>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</si>
  <si>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</si>
  <si>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</si>
  <si>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</si>
  <si>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</si>
  <si>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</si>
  <si>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</si>
  <si>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</si>
  <si>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</si>
  <si>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</si>
  <si>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</si>
  <si>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</si>
  <si>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</si>
  <si>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</si>
  <si>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</si>
  <si>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</si>
  <si>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</si>
  <si>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</si>
  <si>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</si>
  <si>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</si>
  <si>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</si>
  <si>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</si>
  <si>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</si>
  <si>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</si>
  <si>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</si>
  <si>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</si>
  <si>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</si>
  <si>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</si>
  <si>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</si>
  <si>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</si>
  <si>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</si>
  <si>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</si>
  <si>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</si>
  <si>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</si>
  <si>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</si>
  <si>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</si>
  <si>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</si>
  <si>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</si>
  <si>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</si>
  <si>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</si>
  <si>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</si>
  <si>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</si>
  <si>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</si>
  <si>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</si>
  <si>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</si>
  <si>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</si>
  <si>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</si>
  <si>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</si>
  <si>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</si>
  <si>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</si>
  <si>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</si>
  <si>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</si>
  <si>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</si>
  <si>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</si>
  <si>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</si>
  <si>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</si>
  <si>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</si>
  <si>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</si>
  <si>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</si>
  <si>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</si>
  <si>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</si>
  <si>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</si>
  <si>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</si>
  <si>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</si>
  <si>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</si>
  <si>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</si>
  <si>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</si>
  <si>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</si>
  <si>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</si>
  <si>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</si>
  <si>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</si>
  <si>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</si>
  <si>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</si>
  <si>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</si>
  <si>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</si>
  <si>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</si>
  <si>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</si>
  <si>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</si>
  <si>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</si>
  <si>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</si>
  <si>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</si>
  <si>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</si>
  <si>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</si>
  <si>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</si>
  <si>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</si>
  <si>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</si>
  <si>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</si>
  <si>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</si>
  <si>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</si>
  <si>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</si>
  <si>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</si>
  <si>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</si>
  <si>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</si>
  <si>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</si>
  <si>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</si>
  <si>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</si>
  <si>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</si>
  <si>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</si>
  <si>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</si>
  <si>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</si>
  <si>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</si>
  <si>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</si>
  <si>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</si>
  <si>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</si>
  <si>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</si>
  <si>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</si>
  <si>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</si>
  <si>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</si>
  <si>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</si>
  <si>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</si>
  <si>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</si>
  <si>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</si>
  <si>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</si>
  <si>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</si>
  <si>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</si>
  <si>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</si>
  <si>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</si>
  <si>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</si>
  <si>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</si>
  <si>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</si>
  <si>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</si>
  <si>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</si>
  <si>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</si>
  <si>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</si>
  <si>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</si>
  <si>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</si>
  <si>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</si>
  <si>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</si>
  <si>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</si>
  <si>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</si>
  <si>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</si>
  <si>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</si>
  <si>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</si>
  <si>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</si>
  <si>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</si>
  <si>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</si>
  <si>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</si>
  <si>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</si>
  <si>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</si>
  <si>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</si>
  <si>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</si>
  <si>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</si>
  <si>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</si>
  <si>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</si>
  <si>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</si>
  <si>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Emphesys Insurance Company</t>
  </si>
  <si>
    <t>HUMANA GRP</t>
  </si>
  <si>
    <t>Humana</t>
  </si>
  <si>
    <t>119</t>
  </si>
  <si>
    <t>2015</t>
  </si>
  <si>
    <t>1221 S. Mo Pac Expy, Suite 200 Austin, TX 78746-7625</t>
  </si>
  <si>
    <t>310935772</t>
  </si>
  <si>
    <t>088595</t>
  </si>
  <si>
    <t>88595</t>
  </si>
  <si>
    <t>136</t>
  </si>
  <si>
    <t>Incurred claims, when allocated, are allocated based upon actual claims payment amounts.</t>
  </si>
  <si>
    <t xml:space="preserve">This category consists of FICA taxes that were not included in one of the Quality Improvement category below. </t>
  </si>
  <si>
    <t>Allocations are based on detailed cost examination and interview processes to identify the product and market supported by the</t>
  </si>
  <si>
    <t>department. Quality improvement activities are also identified for each department. Each department's expenses are allocated to the Entity,</t>
  </si>
  <si>
    <t xml:space="preserve">State, Product and Segment using the market/product information along with weighted membership.  </t>
  </si>
  <si>
    <t>Federal Income taxes are allocated based upon statutory income.</t>
  </si>
  <si>
    <t>This category primarily consists of state premium taxes that are recorded to Entity, State, Product and Segment based on the underlying</t>
  </si>
  <si>
    <t xml:space="preserve">premium.  Other taxes are recorded directly to the Entity incurring the tax and allocated to State, Product and Segment using weighted </t>
  </si>
  <si>
    <t>membership. These other taxes include frnachise tax, occupational tax and guaranty and comp assessments.</t>
  </si>
  <si>
    <t>State Income taxes are allocated based upon statutory income.</t>
  </si>
  <si>
    <t>Not applicable</t>
  </si>
  <si>
    <t xml:space="preserve">The category consists of regulatory assessments that are recorded directly to the entity that was billed and allocated to State, Product </t>
  </si>
  <si>
    <t>and Segment using weighted membership.</t>
  </si>
  <si>
    <t xml:space="preserve">Costs are recorded directly to Entity, State, Product and Segment when the member receiving the service is specifically identified.  </t>
  </si>
  <si>
    <t xml:space="preserve">Allocations are based on detailed cost examination and interview processes to identify the product and market supported by the </t>
  </si>
  <si>
    <t xml:space="preserve">department. Quality improvement activities are also identified for each department. Each department's expenses are allocated to the Entity, </t>
  </si>
  <si>
    <t xml:space="preserve">State, Product and Segment using the market/product information along with weighted membership.  </t>
  </si>
  <si>
    <t xml:space="preserve">Costs are recorded directly to Product and Segment when possible.  Allocations are based on detailed cost the </t>
  </si>
  <si>
    <t xml:space="preserve">product supported by the department. Quality improvement activities are also identified for each department. </t>
  </si>
  <si>
    <t xml:space="preserve">Each department's expenses are allocated to the Entity, State, Product and Segment using the product information </t>
  </si>
  <si>
    <t xml:space="preserve">along with weighted membership.  </t>
  </si>
  <si>
    <t xml:space="preserve">Costs are recorded directly to Entity, State, Product and Segment based on the identification of the Group or Member.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</si>
</sst>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row>
    <row r="12" spans="1:6" x14ac:dyDescent="0.2">
      <c r="B12" s="147" t="s">
        <v>35</v>
      </c>
      <c r="C12" s="480" t="s">
        <v>149</v>
      </c>
    </row>
    <row r="13" spans="1:6" x14ac:dyDescent="0.2">
      <c r="B13" s="147" t="s">
        <v>50</v>
      </c>
      <c r="C13" s="480" t="s">
        <v>186</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SUM('Pt 2 Premium and Claims'!D$5,'Pt 2 Premium and Claims'!D$6,-'Pt 2 Premium and Claims'!D$7,-'Pt 2 Premium and Claims'!D$13,'Pt 2 Premium and Claims'!D$14:'Pt 2 Premium and Claims'!D$17)</f>
        <v>0</v>
      </c>
      <c r="E5" s="213">
        <f>SUM('Pt 2 Premium and Claims'!E$5,'Pt 2 Premium and Claims'!E$6,-'Pt 2 Premium and Claims'!E$7,-'Pt 2 Premium and Claims'!E$13,'Pt 2 Premium and Claims'!E$14:'Pt 2 Premium and Claims'!E$17)</f>
        <v>0</v>
      </c>
      <c r="F5" s="213">
        <f>SUM('Pt 2 Premium and Claims'!F$5,'Pt 2 Premium and Claims'!F$6,-'Pt 2 Premium and Claims'!F$7,-'Pt 2 Premium and Claims'!F$13,'Pt 2 Premium and Claims'!F$14:'Pt 2 Premium and Claims'!F$17)</f>
        <v>0</v>
      </c>
      <c r="G5" s="213">
        <f>SUM('Pt 2 Premium and Claims'!G$5,'Pt 2 Premium and Claims'!G$6,-'Pt 2 Premium and Claims'!G$7,-'Pt 2 Premium and Claims'!G$13,'Pt 2 Premium and Claims'!G$14:'Pt 2 Premium and Claims'!G$17)</f>
        <v>0</v>
      </c>
      <c r="H5" s="213">
        <f>SUM('Pt 2 Premium and Claims'!H$5,'Pt 2 Premium and Claims'!H$6,-'Pt 2 Premium and Claims'!H$7,-'Pt 2 Premium and Claims'!H$13,'Pt 2 Premium and Claims'!H$14:'Pt 2 Premium and Claims'!H$17)</f>
        <v>0</v>
      </c>
      <c r="I5" s="212">
        <f>SUM('Pt 2 Premium and Claims'!I$5,'Pt 2 Premium and Claims'!I$6,-'Pt 2 Premium and Claims'!I$7,-'Pt 2 Premium and Claims'!I$13,'Pt 2 Premium and Claims'!I$14:'Pt 2 Premium and Claims'!I$16)</f>
        <v>0</v>
      </c>
      <c r="J5" s="212">
        <f>SUM('Pt 2 Premium and Claims'!J$5,'Pt 2 Premium and Claims'!J$6,-'Pt 2 Premium and Claims'!J$7,-'Pt 2 Premium and Claims'!J$13,'Pt 2 Premium and Claims'!J$14,'Pt 2 Premium and Claims'!J$16:'Pt 2 Premium and Claims'!J$17)</f>
        <v>6292.48</v>
      </c>
      <c r="K5" s="213">
        <f>SUM('Pt 2 Premium and Claims'!K$5,'Pt 2 Premium and Claims'!K$6,-'Pt 2 Premium and Claims'!K$7,-'Pt 2 Premium and Claims'!K$13,'Pt 2 Premium and Claims'!K$14,'Pt 2 Premium and Claims'!K$16:'Pt 2 Premium and Claims'!K$17)</f>
        <v>6292.48</v>
      </c>
      <c r="L5" s="213">
        <f>SUM('Pt 2 Premium and Claims'!L$5,'Pt 2 Premium and Claims'!L$6,-'Pt 2 Premium and Claims'!L$7,-'Pt 2 Premium and Claims'!L$13,'Pt 2 Premium and Claims'!L$14,'Pt 2 Premium and Claims'!L$16:'Pt 2 Premium and Claims'!L$17)</f>
        <v>0</v>
      </c>
      <c r="M5" s="213">
        <f>SUM('Pt 2 Premium and Claims'!M$5,'Pt 2 Premium and Claims'!M$6,-'Pt 2 Premium and Claims'!M$7,-'Pt 2 Premium and Claims'!M$13,'Pt 2 Premium and Claims'!M$14,'Pt 2 Premium and Claims'!M$16:'Pt 2 Premium and Claims'!M$17)</f>
        <v>0</v>
      </c>
      <c r="N5" s="213">
        <f>SUM('Pt 2 Premium and Claims'!N$5,'Pt 2 Premium and Claims'!N$6,-'Pt 2 Premium and Claims'!N$7,-'Pt 2 Premium and Claims'!N$13,'Pt 2 Premium and Claims'!N$14,'Pt 2 Premium and Claims'!N$16:'Pt 2 Premium and Claims'!N$17)</f>
        <v>0</v>
      </c>
      <c r="O5" s="212">
        <f>SUM('Pt 2 Premium and Claims'!O$5,'Pt 2 Premium and Claims'!O$6,-'Pt 2 Premium and Claims'!O$7,-'Pt 2 Premium and Claims'!O$13,'Pt 2 Premium and Claims'!O$14,'Pt 2 Premium and Claims'!O$16)</f>
        <v>0</v>
      </c>
      <c r="P5" s="212">
        <f>SUM('Pt 2 Premium and Claims'!P$5,'Pt 2 Premium and Claims'!P$6,-'Pt 2 Premium and Claims'!P$7,-'Pt 2 Premium and Claims'!P$13,'Pt 2 Premium and Claims'!P$14)</f>
        <v>0</v>
      </c>
      <c r="Q5" s="213">
        <f>SUM('Pt 2 Premium and Claims'!Q$5,'Pt 2 Premium and Claims'!Q$6,-'Pt 2 Premium and Claims'!Q$7,-'Pt 2 Premium and Claims'!Q$13,'Pt 2 Premium and Claims'!Q$14)</f>
        <v>0</v>
      </c>
      <c r="R5" s="213">
        <f>SUM('Pt 2 Premium and Claims'!R$5,'Pt 2 Premium and Claims'!R$6,-'Pt 2 Premium and Claims'!R$7,-'Pt 2 Premium and Claims'!R$13,'Pt 2 Premium and Claims'!R$14)</f>
        <v>0</v>
      </c>
      <c r="S5" s="213">
        <f>SUM('Pt 2 Premium and Claims'!S$5,'Pt 2 Premium and Claims'!S$6,-'Pt 2 Premium and Claims'!S$7,-'Pt 2 Premium and Claims'!S$13,'Pt 2 Premium and Claims'!S$14)</f>
        <v>0</v>
      </c>
      <c r="T5" s="213">
        <f>SUM('Pt 2 Premium and Claims'!T$5,'Pt 2 Premium and Claims'!T$6,-'Pt 2 Premium and Claims'!T$7,-'Pt 2 Premium and Claims'!T$13,'Pt 2 Premium and Claims'!T$14)</f>
        <v>0</v>
      </c>
      <c r="U5" s="212">
        <f>SUM('Pt 2 Premium and Claims'!U$5,'Pt 2 Premium and Claims'!U$6,-'Pt 2 Premium and Claims'!U$7,-'Pt 2 Premium and Claims'!U$13,'Pt 2 Premium and Claims'!U$14)</f>
        <v>0</v>
      </c>
      <c r="V5" s="213">
        <f>SUM('Pt 2 Premium and Claims'!V$5,'Pt 2 Premium and Claims'!V$6,-'Pt 2 Premium and Claims'!V$7,-'Pt 2 Premium and Claims'!V$13,'Pt 2 Premium and Claims'!V$14)</f>
        <v>0</v>
      </c>
      <c r="W5" s="213">
        <f>SUM('Pt 2 Premium and Claims'!W$5,'Pt 2 Premium and Claims'!W$6,-'Pt 2 Premium and Claims'!W$7,-'Pt 2 Premium and Claims'!W$13,'Pt 2 Premium and Claims'!W$14)</f>
        <v>0</v>
      </c>
      <c r="X5" s="212">
        <f>SUM('Pt 2 Premium and Claims'!X$5,'Pt 2 Premium and Claims'!X$6,-'Pt 2 Premium and Claims'!X$7,-'Pt 2 Premium and Claims'!X$13,'Pt 2 Premium and Claims'!X$14)</f>
        <v>0</v>
      </c>
      <c r="Y5" s="213">
        <f>SUM('Pt 2 Premium and Claims'!Y$5,'Pt 2 Premium and Claims'!Y$6,-'Pt 2 Premium and Claims'!Y$7,-'Pt 2 Premium and Claims'!Y$13,'Pt 2 Premium and Claims'!Y$14)</f>
        <v>0</v>
      </c>
      <c r="Z5" s="213">
        <f>SUM('Pt 2 Premium and Claims'!Z$5,'Pt 2 Premium and Claims'!Z$6,-'Pt 2 Premium and Claims'!Z$7,-'Pt 2 Premium and Claims'!Z$13,'Pt 2 Premium and Claims'!Z$14)</f>
        <v>0</v>
      </c>
      <c r="AA5" s="212">
        <f>SUM('Pt 2 Premium and Claims'!AA$5,'Pt 2 Premium and Claims'!AA$6,-'Pt 2 Premium and Claims'!AA$7,-'Pt 2 Premium and Claims'!AA$13,'Pt 2 Premium and Claims'!AA$14)</f>
        <v>0</v>
      </c>
      <c r="AB5" s="213">
        <f>SUM('Pt 2 Premium and Claims'!AB$5,'Pt 2 Premium and Claims'!AB$6,-'Pt 2 Premium and Claims'!AB$7,-'Pt 2 Premium and Claims'!AB$13,'Pt 2 Premium and Claims'!AB$14)</f>
        <v>0</v>
      </c>
      <c r="AC5" s="213">
        <f>SUM('Pt 2 Premium and Claims'!AC$5,'Pt 2 Premium and Claims'!AC$6,-'Pt 2 Premium and Claims'!AC$7,-'Pt 2 Premium and Claims'!AC$13,'Pt 2 Premium and Claims'!AC$14)</f>
        <v>0</v>
      </c>
      <c r="AD5" s="212"/>
      <c r="AE5" s="274"/>
      <c r="AF5" s="274"/>
      <c r="AG5" s="274"/>
      <c r="AH5" s="275"/>
      <c r="AI5" s="212"/>
      <c r="AJ5" s="274"/>
      <c r="AK5" s="274"/>
      <c r="AL5" s="274"/>
      <c r="AM5" s="275"/>
      <c r="AN5" s="212">
        <f>SUM('Pt 2 Premium and Claims'!AN$5,'Pt 2 Premium and Claims'!AN$6,-'Pt 2 Premium and Claims'!AN$7,-'Pt 2 Premium and Claims'!AN$13,'Pt 2 Premium and Claims'!AN$14)</f>
        <v>0</v>
      </c>
      <c r="AO5" s="213">
        <f>SUM('Pt 2 Premium and Claims'!AO$5,'Pt 2 Premium and Claims'!AO$6,-'Pt 2 Premium and Claims'!AO$7,-'Pt 2 Premium and Claims'!AO$13,'Pt 2 Premium and Claims'!AO$14)</f>
        <v>0</v>
      </c>
      <c r="AP5" s="213">
        <f>SUM('Pt 2 Premium and Claims'!AP$5,'Pt 2 Premium and Claims'!AP$6,-'Pt 2 Premium and Claims'!AP$7,-'Pt 2 Premium and Claims'!AP$13,'Pt 2 Premium and Claims'!AP$14)</f>
        <v>0</v>
      </c>
      <c r="AQ5" s="213">
        <f>SUM('Pt 2 Premium and Claims'!AQ$5,'Pt 2 Premium and Claims'!AQ$6,-'Pt 2 Premium and Claims'!AQ$7,-'Pt 2 Premium and Claims'!AQ$13,'Pt 2 Premium and Claims'!AQ$14)</f>
        <v>0</v>
      </c>
      <c r="AR5" s="213">
        <f>SUM('Pt 2 Premium and Claims'!AR$5,'Pt 2 Premium and Claims'!AR$6,-'Pt 2 Premium and Claims'!AR$7,-'Pt 2 Premium and Claims'!AR$13,'Pt 2 Premium and Claims'!AR$14)</f>
        <v>0</v>
      </c>
      <c r="AS5" s="212">
        <f>SUM('Pt 2 Premium and Claims'!AS$5,'Pt 2 Premium and Claims'!AS$6,-'Pt 2 Premium and Claims'!AS$7,-'Pt 2 Premium and Claims'!AS$13,'Pt 2 Premium and Claims'!AS$14)</f>
        <v>0</v>
      </c>
      <c r="AT5" s="214">
        <f>SUM('Pt 2 Premium and Claims'!AT$5,'Pt 2 Premium and Claims'!AT$6,-'Pt 2 Premium and Claims'!AT$7,-'Pt 2 Premium and Claims'!AT$13,'Pt 2 Premium and Claims'!AT$14)</f>
        <v>0</v>
      </c>
      <c r="AU5" s="214">
        <f>SUM('Pt 2 Premium and Claims'!AU$5,'Pt 2 Premium and Claims'!AU$6,-'Pt 2 Premium and Claims'!AU$7,-'Pt 2 Premium and Claims'!AU$13,'Pt 2 Premium and Claims'!AU$14)</f>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0</v>
      </c>
      <c r="E12" s="213">
        <f>'Pt 2 Premium and Claims'!E$54</f>
        <v>0</v>
      </c>
      <c r="F12" s="213">
        <f>'Pt 2 Premium and Claims'!F$54</f>
        <v>0</v>
      </c>
      <c r="G12" s="213">
        <f>'Pt 2 Premium and Claims'!G$54</f>
        <v>0</v>
      </c>
      <c r="H12" s="213">
        <f>'Pt 2 Premium and Claims'!H$54</f>
        <v>0</v>
      </c>
      <c r="I12" s="212">
        <f>'Pt 2 Premium and Claims'!I$54</f>
        <v>0</v>
      </c>
      <c r="J12" s="212">
        <f>'Pt 2 Premium and Claims'!J$54</f>
        <v>491.57</v>
      </c>
      <c r="K12" s="213">
        <f>'Pt 2 Premium and Claims'!K$54</f>
        <v>491.57</v>
      </c>
      <c r="L12" s="213">
        <f>'Pt 2 Premium and Claims'!L$54</f>
        <v>0</v>
      </c>
      <c r="M12" s="213">
        <f>'Pt 2 Premium and Claims'!M$54</f>
        <v>0</v>
      </c>
      <c r="N12" s="213">
        <f>'Pt 2 Premium and Claims'!N$54</f>
        <v>0</v>
      </c>
      <c r="O12" s="212">
        <f>'Pt 2 Premium and Claims'!O$54</f>
        <v>0</v>
      </c>
      <c r="P12" s="212">
        <f>'Pt 2 Premium and Claims'!P$54</f>
        <v>0</v>
      </c>
      <c r="Q12" s="213">
        <f>'Pt 2 Premium and Claims'!Q$54</f>
        <v>0</v>
      </c>
      <c r="R12" s="213">
        <f>'Pt 2 Premium and Claims'!R$54</f>
        <v>0</v>
      </c>
      <c r="S12" s="213">
        <f>'Pt 2 Premium and Claims'!S$54</f>
        <v>0</v>
      </c>
      <c r="T12" s="213">
        <f>'Pt 2 Premium and Claims'!T$54</f>
        <v>0</v>
      </c>
      <c r="U12" s="212">
        <f>'Pt 2 Premium and Claims'!U$54</f>
        <v>0</v>
      </c>
      <c r="V12" s="213">
        <f>'Pt 2 Premium and Claims'!V$54</f>
        <v>0</v>
      </c>
      <c r="W12" s="213">
        <f>'Pt 2 Premium and Claims'!W$54</f>
        <v>0</v>
      </c>
      <c r="X12" s="212">
        <f>'Pt 2 Premium and Claims'!X$54</f>
        <v>0</v>
      </c>
      <c r="Y12" s="213">
        <f>'Pt 2 Premium and Claims'!Y$54</f>
        <v>0</v>
      </c>
      <c r="Z12" s="213">
        <f>'Pt 2 Premium and Claims'!Z$54</f>
        <v>0</v>
      </c>
      <c r="AA12" s="212">
        <f>'Pt 2 Premium and Claims'!AA$54</f>
        <v>0</v>
      </c>
      <c r="AB12" s="213">
        <f>'Pt 2 Premium and Claims'!AB$54</f>
        <v>0</v>
      </c>
      <c r="AC12" s="213">
        <f>'Pt 2 Premium and Claims'!AC$54</f>
        <v>0</v>
      </c>
      <c r="AD12" s="212"/>
      <c r="AE12" s="274"/>
      <c r="AF12" s="274"/>
      <c r="AG12" s="274"/>
      <c r="AH12" s="275"/>
      <c r="AI12" s="212"/>
      <c r="AJ12" s="274"/>
      <c r="AK12" s="274"/>
      <c r="AL12" s="274"/>
      <c r="AM12" s="275"/>
      <c r="AN12" s="212">
        <f>'Pt 2 Premium and Claims'!AN$54</f>
        <v>0</v>
      </c>
      <c r="AO12" s="213">
        <f>'Pt 2 Premium and Claims'!AO$54</f>
        <v>0</v>
      </c>
      <c r="AP12" s="213">
        <f>'Pt 2 Premium and Claims'!AP$54</f>
        <v>0</v>
      </c>
      <c r="AQ12" s="213">
        <f>'Pt 2 Premium and Claims'!AQ$54</f>
        <v>0</v>
      </c>
      <c r="AR12" s="213">
        <f>'Pt 2 Premium and Claims'!AR$54</f>
        <v>0</v>
      </c>
      <c r="AS12" s="212">
        <f>'Pt 2 Premium and Claims'!AS$54</f>
        <v>0</v>
      </c>
      <c r="AT12" s="214">
        <f>'Pt 2 Premium and Claims'!AT$54</f>
        <v>0</v>
      </c>
      <c r="AU12" s="214">
        <f>'Pt 2 Premium and Claims'!AU$54</f>
        <v>0</v>
      </c>
      <c r="AV12" s="291"/>
      <c r="AW12" s="296"/>
    </row>
    <row r="13" spans="1:49" ht="25.5" x14ac:dyDescent="0.2">
      <c r="B13" s="239" t="s">
        <v>230</v>
      </c>
      <c r="C13" s="203" t="s">
        <v>37</v>
      </c>
      <c r="D13" s="216"/>
      <c r="E13" s="217"/>
      <c r="F13" s="217"/>
      <c r="G13" s="268"/>
      <c r="H13" s="269"/>
      <c r="I13" s="216"/>
      <c r="J13" s="216">
        <v>-0.75</v>
      </c>
      <c r="K13" s="217">
        <v>-0.75</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v>0</v>
      </c>
      <c r="K14" s="217">
        <v>0</v>
      </c>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v>22978.25</v>
      </c>
      <c r="K15" s="217">
        <v>22978.25</v>
      </c>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f>'Pt 2 Premium and Claims'!D$55</f>
        <v>0</v>
      </c>
      <c r="E22" s="222">
        <f>'Pt 2 Premium and Claims'!E$55</f>
        <v>0</v>
      </c>
      <c r="F22" s="222">
        <f>'Pt 2 Premium and Claims'!F$55</f>
        <v>0</v>
      </c>
      <c r="G22" s="222">
        <f>'Pt 2 Premium and Claims'!G$55</f>
        <v>0</v>
      </c>
      <c r="H22" s="222">
        <f>'Pt 2 Premium and Claims'!H$55</f>
        <v>0</v>
      </c>
      <c r="I22" s="221">
        <f>'Pt 2 Premium and Claims'!I$55</f>
        <v>0</v>
      </c>
      <c r="J22" s="221">
        <f>'Pt 2 Premium and Claims'!J$55</f>
        <v>0</v>
      </c>
      <c r="K22" s="222">
        <f>'Pt 2 Premium and Claims'!K$55</f>
        <v>0</v>
      </c>
      <c r="L22" s="222">
        <f>'Pt 2 Premium and Claims'!L$55</f>
        <v>0</v>
      </c>
      <c r="M22" s="222">
        <f>'Pt 2 Premium and Claims'!M$55</f>
        <v>0</v>
      </c>
      <c r="N22" s="222">
        <f>'Pt 2 Premium and Claims'!N$55</f>
        <v>0</v>
      </c>
      <c r="O22" s="221">
        <f>'Pt 2 Premium and Claims'!O$55</f>
        <v>0</v>
      </c>
      <c r="P22" s="221">
        <f>'Pt 2 Premium and Claims'!P$55</f>
        <v>0</v>
      </c>
      <c r="Q22" s="222">
        <f>'Pt 2 Premium and Claims'!Q$55</f>
        <v>0</v>
      </c>
      <c r="R22" s="222">
        <f>'Pt 2 Premium and Claims'!R$55</f>
        <v>0</v>
      </c>
      <c r="S22" s="222">
        <f>'Pt 2 Premium and Claims'!S$55</f>
        <v>0</v>
      </c>
      <c r="T22" s="222">
        <f>'Pt 2 Premium and Claims'!T$55</f>
        <v>0</v>
      </c>
      <c r="U22" s="221">
        <f>'Pt 2 Premium and Claims'!U$55</f>
        <v>0</v>
      </c>
      <c r="V22" s="222">
        <f>'Pt 2 Premium and Claims'!V$55</f>
        <v>0</v>
      </c>
      <c r="W22" s="222">
        <f>'Pt 2 Premium and Claims'!W$55</f>
        <v>0</v>
      </c>
      <c r="X22" s="221">
        <f>'Pt 2 Premium and Claims'!X$55</f>
        <v>0</v>
      </c>
      <c r="Y22" s="222">
        <f>'Pt 2 Premium and Claims'!Y$55</f>
        <v>0</v>
      </c>
      <c r="Z22" s="222">
        <f>'Pt 2 Premium and Claims'!Z$55</f>
        <v>0</v>
      </c>
      <c r="AA22" s="221">
        <f>'Pt 2 Premium and Claims'!AA$55</f>
        <v>0</v>
      </c>
      <c r="AB22" s="222">
        <f>'Pt 2 Premium and Claims'!AB$55</f>
        <v>0</v>
      </c>
      <c r="AC22" s="222">
        <f>'Pt 2 Premium and Claims'!AC$55</f>
        <v>0</v>
      </c>
      <c r="AD22" s="221"/>
      <c r="AE22" s="270"/>
      <c r="AF22" s="270"/>
      <c r="AG22" s="270"/>
      <c r="AH22" s="270"/>
      <c r="AI22" s="221"/>
      <c r="AJ22" s="270"/>
      <c r="AK22" s="270"/>
      <c r="AL22" s="270"/>
      <c r="AM22" s="270"/>
      <c r="AN22" s="221">
        <f>'Pt 2 Premium and Claims'!AN$55</f>
        <v>0</v>
      </c>
      <c r="AO22" s="222">
        <f>'Pt 2 Premium and Claims'!AO$55</f>
        <v>0</v>
      </c>
      <c r="AP22" s="222">
        <f>'Pt 2 Premium and Claims'!AP$55</f>
        <v>0</v>
      </c>
      <c r="AQ22" s="222">
        <f>'Pt 2 Premium and Claims'!AQ$55</f>
        <v>0</v>
      </c>
      <c r="AR22" s="222">
        <f>'Pt 2 Premium and Claims'!AR$55</f>
        <v>0</v>
      </c>
      <c r="AS22" s="221">
        <f>'Pt 2 Premium and Claims'!AS$55</f>
        <v>0</v>
      </c>
      <c r="AT22" s="223">
        <f>'Pt 2 Premium and Claims'!AT$55</f>
        <v>0</v>
      </c>
      <c r="AU22" s="223">
        <f>'Pt 2 Premium and Claims'!AU$55</f>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v>-26604.03</v>
      </c>
      <c r="K25" s="217">
        <v>-26604.03</v>
      </c>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c r="E26" s="217"/>
      <c r="F26" s="217"/>
      <c r="G26" s="217"/>
      <c r="H26" s="217"/>
      <c r="I26" s="216"/>
      <c r="J26" s="216">
        <v>18.32</v>
      </c>
      <c r="K26" s="217">
        <v>18.32</v>
      </c>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v>105.07</v>
      </c>
      <c r="K27" s="217">
        <v>105.07</v>
      </c>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v>8.48</v>
      </c>
      <c r="K28" s="217">
        <v>8.48</v>
      </c>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v>3557.25</v>
      </c>
      <c r="K30" s="217">
        <v>3557.25</v>
      </c>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v>-1207.97</v>
      </c>
      <c r="K31" s="217">
        <v>-1207.97</v>
      </c>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v>58.52</v>
      </c>
      <c r="K34" s="217">
        <v>58.52</v>
      </c>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v>22980.799999999999</v>
      </c>
      <c r="K35" s="217">
        <v>22980.799999999999</v>
      </c>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v>7.24</v>
      </c>
      <c r="K37" s="225">
        <v>7.24</v>
      </c>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v>5.59</v>
      </c>
      <c r="K38" s="217">
        <v>5.59</v>
      </c>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v>0.83</v>
      </c>
      <c r="K39" s="217">
        <v>0.83</v>
      </c>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v>32.21</v>
      </c>
      <c r="K40" s="217">
        <v>32.21</v>
      </c>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v>4.7300000000000004</v>
      </c>
      <c r="K41" s="217">
        <v>4.7300000000000004</v>
      </c>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v>0</v>
      </c>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v>4209.59</v>
      </c>
      <c r="K44" s="225">
        <v>4209.59</v>
      </c>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v>7.42</v>
      </c>
      <c r="K45" s="217">
        <v>7.42</v>
      </c>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v>20.149999999999999</v>
      </c>
      <c r="K46" s="217">
        <v>20.149999999999999</v>
      </c>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c r="E47" s="217"/>
      <c r="F47" s="217"/>
      <c r="G47" s="217"/>
      <c r="H47" s="217"/>
      <c r="I47" s="216"/>
      <c r="J47" s="216">
        <v>212.13</v>
      </c>
      <c r="K47" s="217">
        <v>212.13</v>
      </c>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v>3321.23</v>
      </c>
      <c r="K49" s="217">
        <v>3321.23</v>
      </c>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v>50933.09</v>
      </c>
      <c r="K51" s="217">
        <v>50933.09</v>
      </c>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v>0</v>
      </c>
      <c r="K56" s="229">
        <v>0</v>
      </c>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c r="E59" s="232"/>
      <c r="F59" s="232"/>
      <c r="G59" s="232"/>
      <c r="H59" s="232"/>
      <c r="I59" s="231"/>
      <c r="J59" s="231">
        <v>12</v>
      </c>
      <c r="K59" s="232">
        <v>12</v>
      </c>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f t="shared" ref="D60:AC60" si="0">D$59/12</f>
        <v>0</v>
      </c>
      <c r="E60" s="235">
        <f t="shared" si="0"/>
        <v>0</v>
      </c>
      <c r="F60" s="235">
        <f t="shared" si="0"/>
        <v>0</v>
      </c>
      <c r="G60" s="235">
        <f t="shared" si="0"/>
        <v>0</v>
      </c>
      <c r="H60" s="235">
        <f t="shared" si="0"/>
        <v>0</v>
      </c>
      <c r="I60" s="234">
        <f t="shared" si="0"/>
        <v>0</v>
      </c>
      <c r="J60" s="234">
        <f t="shared" si="0"/>
        <v>1</v>
      </c>
      <c r="K60" s="235">
        <f t="shared" si="0"/>
        <v>1</v>
      </c>
      <c r="L60" s="235">
        <f t="shared" si="0"/>
        <v>0</v>
      </c>
      <c r="M60" s="235">
        <f t="shared" si="0"/>
        <v>0</v>
      </c>
      <c r="N60" s="235">
        <f t="shared" si="0"/>
        <v>0</v>
      </c>
      <c r="O60" s="234">
        <f t="shared" si="0"/>
        <v>0</v>
      </c>
      <c r="P60" s="234">
        <f t="shared" si="0"/>
        <v>0</v>
      </c>
      <c r="Q60" s="235">
        <f t="shared" si="0"/>
        <v>0</v>
      </c>
      <c r="R60" s="235">
        <f t="shared" si="0"/>
        <v>0</v>
      </c>
      <c r="S60" s="235">
        <f t="shared" si="0"/>
        <v>0</v>
      </c>
      <c r="T60" s="235">
        <f t="shared" si="0"/>
        <v>0</v>
      </c>
      <c r="U60" s="234">
        <f t="shared" si="0"/>
        <v>0</v>
      </c>
      <c r="V60" s="235">
        <f t="shared" si="0"/>
        <v>0</v>
      </c>
      <c r="W60" s="235">
        <f t="shared" si="0"/>
        <v>0</v>
      </c>
      <c r="X60" s="234">
        <f t="shared" si="0"/>
        <v>0</v>
      </c>
      <c r="Y60" s="235">
        <f t="shared" si="0"/>
        <v>0</v>
      </c>
      <c r="Z60" s="235">
        <f t="shared" si="0"/>
        <v>0</v>
      </c>
      <c r="AA60" s="234">
        <f t="shared" si="0"/>
        <v>0</v>
      </c>
      <c r="AB60" s="235">
        <f t="shared" si="0"/>
        <v>0</v>
      </c>
      <c r="AC60" s="235">
        <f t="shared" si="0"/>
        <v>0</v>
      </c>
      <c r="AD60" s="234"/>
      <c r="AE60" s="283"/>
      <c r="AF60" s="283"/>
      <c r="AG60" s="283"/>
      <c r="AH60" s="284"/>
      <c r="AI60" s="234"/>
      <c r="AJ60" s="283"/>
      <c r="AK60" s="283"/>
      <c r="AL60" s="283"/>
      <c r="AM60" s="284"/>
      <c r="AN60" s="234">
        <f t="shared" ref="AN60:AV60" si="1">AN$59/12</f>
        <v>0</v>
      </c>
      <c r="AO60" s="235">
        <f t="shared" si="1"/>
        <v>0</v>
      </c>
      <c r="AP60" s="235">
        <f t="shared" si="1"/>
        <v>0</v>
      </c>
      <c r="AQ60" s="235">
        <f t="shared" si="1"/>
        <v>0</v>
      </c>
      <c r="AR60" s="235">
        <f t="shared" si="1"/>
        <v>0</v>
      </c>
      <c r="AS60" s="234">
        <f t="shared" si="1"/>
        <v>0</v>
      </c>
      <c r="AT60" s="236">
        <f t="shared" si="1"/>
        <v>0</v>
      </c>
      <c r="AU60" s="236">
        <f t="shared" si="1"/>
        <v>0</v>
      </c>
      <c r="AV60" s="236">
        <f t="shared" si="1"/>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v>6292.48</v>
      </c>
      <c r="K5" s="326">
        <v>6292.48</v>
      </c>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v>0</v>
      </c>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v>0</v>
      </c>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v>-301.76</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c r="F24" s="319"/>
      <c r="G24" s="319"/>
      <c r="H24" s="319"/>
      <c r="I24" s="318"/>
      <c r="J24" s="365"/>
      <c r="K24" s="319">
        <v>-301.76</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-0.45</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c r="F27" s="319"/>
      <c r="G27" s="319"/>
      <c r="H27" s="319"/>
      <c r="I27" s="318"/>
      <c r="J27" s="365"/>
      <c r="K27" s="319">
        <v>-0.45</v>
      </c>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v>0</v>
      </c>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v>793.78</v>
      </c>
      <c r="K53" s="319">
        <v>793.78</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D23+D26-D28+D30-D32+D34-D36+D38+D41-D43+D45+D46-D47-D49+D50+D51+D52+D53</f>
        <v>0</v>
      </c>
      <c r="E54" s="323">
        <f>E24+E27+E31+E35-E36+E39+E42+E45+E46-E49+E51+E52+E53</f>
        <v>0</v>
      </c>
      <c r="F54" s="323">
        <f>F24+F27+F31+F35-F36+F39+F42+F45+F46-F49+F51+F52+F53</f>
        <v>0</v>
      </c>
      <c r="G54" s="323">
        <f>G24+G27+G31+G35-G36+G39+G42+G45+G46-G49+G51+G52+G53</f>
        <v>0</v>
      </c>
      <c r="H54" s="323">
        <f>H24+H27+H31+H35-H36+H39+H42+H45+H46-H49+H51+H52+H53</f>
        <v>0</v>
      </c>
      <c r="I54" s="322">
        <f>I24+I27+I31+I35-I36+I39+I42+I45+I46-I49+I51+I52+I53</f>
        <v>0</v>
      </c>
      <c r="J54" s="322">
        <f>J23+J26-J28+J30-J32+J34-J36+J38+J41-J43+J45+J46-J47-J49+J50+J51+J52+J53</f>
        <v>491.57</v>
      </c>
      <c r="K54" s="323">
        <f>K24+K27+K31+K35-K36+K39+K42+K45+K46-K49+K51+K52+K53</f>
        <v>491.57</v>
      </c>
      <c r="L54" s="323">
        <f>L24+L27+L31+L35-L36+L39+L42+L45+L46-L49+L51+L52+L53</f>
        <v>0</v>
      </c>
      <c r="M54" s="323">
        <f>M24+M27+M31+M35-M36+M39+M42+M45+M46-M49+M51+M52+M53</f>
        <v>0</v>
      </c>
      <c r="N54" s="323">
        <f>N24+N27+N31+N35-N36+N39+N42+N45+N46-N49+N51+N52+N53</f>
        <v>0</v>
      </c>
      <c r="O54" s="322">
        <f>O24+O27+O31+O35-O36+O39+O42+O45+O46-O49+O51+O52+O53</f>
        <v>0</v>
      </c>
      <c r="P54" s="322">
        <f>P23+P26-P28+P30-P32+P34-P36+P38+P41-P43+P45+P46-P47-P49+P50+P51+P52+P53</f>
        <v>0</v>
      </c>
      <c r="Q54" s="323">
        <f>Q24+Q27+Q31+Q35-Q36+Q39+Q42+Q45+Q46-Q49+Q51+Q52+Q53</f>
        <v>0</v>
      </c>
      <c r="R54" s="323">
        <f>R24+R27+R31+R35-R36+R39+R42+R45+R46-R49+R51+R52+R53</f>
        <v>0</v>
      </c>
      <c r="S54" s="323">
        <f>S24+S27+S31+S35-S36+S39+S42+S45+S46-S49+S51+S52+S53</f>
        <v>0</v>
      </c>
      <c r="T54" s="323">
        <f>T24+T27+T31+T35-T36+T39+T42+T45+T46-T49+T51+T52+T53</f>
        <v>0</v>
      </c>
      <c r="U54" s="322">
        <f>U23+U26-U28+U30-U32+U34-U36+U38+U41-U43+U45+U46-U47-U49+U50+U51+U52+U53</f>
        <v>0</v>
      </c>
      <c r="V54" s="323">
        <f>V24+V27+V31+V35-V36+V39+V42+V45+V46-V49+V51+V52+V53</f>
        <v>0</v>
      </c>
      <c r="W54" s="323">
        <f>W24+W27+W31+W35-W36+W39+W42+W45+W46-W49+W51+W52+W53</f>
        <v>0</v>
      </c>
      <c r="X54" s="322">
        <f>X23+X26-X28+X30-X32+X34-X36+X38+X41-X43+X45+X46-X47-X49+X50+X51+X52+X53</f>
        <v>0</v>
      </c>
      <c r="Y54" s="323">
        <f>Y24+Y27+Y31+Y35-Y36+Y39+Y42+Y45+Y46-Y49+Y51+Y52+Y53</f>
        <v>0</v>
      </c>
      <c r="Z54" s="323">
        <f>Z24+Z27+Z31+Z35-Z36+Z39+Z42+Z45+Z46-Z49+Z51+Z52+Z53</f>
        <v>0</v>
      </c>
      <c r="AA54" s="322">
        <f>AA23+AA26-AA28+AA30-AA32+AA34-AA36+AA38+AA41-AA43+AA45+AA46-AA47-AA49+AA50+AA51+AA52+AA53</f>
        <v>0</v>
      </c>
      <c r="AB54" s="323">
        <f>AB24+AB27+AB31+AB35-AB36+AB39+AB42+AB45+AB46-AB49+AB51+AB52+AB53</f>
        <v>0</v>
      </c>
      <c r="AC54" s="323">
        <f>AC24+AC27+AC31+AC35-AC36+AC39+AC42+AC45+AC46-AC49+AC51+AC52+AC53</f>
        <v>0</v>
      </c>
      <c r="AD54" s="322"/>
      <c r="AE54" s="362"/>
      <c r="AF54" s="362"/>
      <c r="AG54" s="362"/>
      <c r="AH54" s="362"/>
      <c r="AI54" s="322"/>
      <c r="AJ54" s="362"/>
      <c r="AK54" s="362"/>
      <c r="AL54" s="362"/>
      <c r="AM54" s="362"/>
      <c r="AN54" s="322">
        <f>AN23+AN26-AN28+AN30-AN32+AN34-AN36+AN38+AN41-AN43+AN45+AN46-AN47-AN49+AN50+AN51+AN52+AN53</f>
        <v>0</v>
      </c>
      <c r="AO54" s="323">
        <f>AO24+AO27+AO31+AO35-AO36+AO39+AO42+AO45+AO46-AO49+AO51+AO52+AO53</f>
        <v>0</v>
      </c>
      <c r="AP54" s="323">
        <f>AP24+AP27+AP31+AP35-AP36+AP39+AP42+AP45+AP46-AP49+AP51+AP52+AP53</f>
        <v>0</v>
      </c>
      <c r="AQ54" s="323">
        <f>AQ24+AQ27+AQ31+AQ35-AQ36+AQ39+AQ42+AQ45+AQ46-AQ49+AQ51+AQ52+AQ53</f>
        <v>0</v>
      </c>
      <c r="AR54" s="323">
        <f>AR24+AR27+AR31+AR35-AR36+AR39+AR42+AR45+AR46-AR49+AR51+AR52+AR53</f>
        <v>0</v>
      </c>
      <c r="AS54" s="322">
        <f>AS23+AS26-AS28+AS30-AS32+AS34-AS36+AS38+AS41-AS43+AS45+AS46-AS47-AS49+AS50+AS51+AS52+AS53</f>
        <v>0</v>
      </c>
      <c r="AT54" s="324">
        <f>AT23+AT26-AT28+AT30-AT32+AT34-AT36+AT38+AT41-AT43+AT45+AT46-AT47-AT49+AT50+AT51+AT52+AT53</f>
        <v>0</v>
      </c>
      <c r="AU54" s="324">
        <f>AU23+AU26-AU28+AU30-AU32+AU34-AU36+AU38+AU41-AU43+AU45+AU46-AU47-AU49+AU50+AU51+AU52+AU53</f>
        <v>0</v>
      </c>
      <c r="AV54" s="368"/>
      <c r="AW54" s="374"/>
    </row>
    <row r="55" spans="2:49" ht="25.5" x14ac:dyDescent="0.2">
      <c r="B55" s="348" t="s">
        <v>493</v>
      </c>
      <c r="C55" s="335" t="s">
        <v>28</v>
      </c>
      <c r="D55" s="322">
        <f t="shared" ref="D55:AC55" si="0">MIN(MAX(0,D56),MAX(0,D57))</f>
        <v>0</v>
      </c>
      <c r="E55" s="323">
        <f t="shared" si="0"/>
        <v>0</v>
      </c>
      <c r="F55" s="323">
        <f t="shared" si="0"/>
        <v>0</v>
      </c>
      <c r="G55" s="323">
        <f t="shared" si="0"/>
        <v>0</v>
      </c>
      <c r="H55" s="323">
        <f t="shared" si="0"/>
        <v>0</v>
      </c>
      <c r="I55" s="322">
        <f t="shared" si="0"/>
        <v>0</v>
      </c>
      <c r="J55" s="322">
        <f t="shared" si="0"/>
        <v>0</v>
      </c>
      <c r="K55" s="323">
        <f t="shared" si="0"/>
        <v>0</v>
      </c>
      <c r="L55" s="323">
        <f t="shared" si="0"/>
        <v>0</v>
      </c>
      <c r="M55" s="323">
        <f t="shared" si="0"/>
        <v>0</v>
      </c>
      <c r="N55" s="323">
        <f t="shared" si="0"/>
        <v>0</v>
      </c>
      <c r="O55" s="322">
        <f t="shared" si="0"/>
        <v>0</v>
      </c>
      <c r="P55" s="322">
        <f t="shared" si="0"/>
        <v>0</v>
      </c>
      <c r="Q55" s="323">
        <f t="shared" si="0"/>
        <v>0</v>
      </c>
      <c r="R55" s="323">
        <f t="shared" si="0"/>
        <v>0</v>
      </c>
      <c r="S55" s="323">
        <f t="shared" si="0"/>
        <v>0</v>
      </c>
      <c r="T55" s="323">
        <f t="shared" si="0"/>
        <v>0</v>
      </c>
      <c r="U55" s="322">
        <f t="shared" si="0"/>
        <v>0</v>
      </c>
      <c r="V55" s="323">
        <f t="shared" si="0"/>
        <v>0</v>
      </c>
      <c r="W55" s="323">
        <f t="shared" si="0"/>
        <v>0</v>
      </c>
      <c r="X55" s="322">
        <f t="shared" si="0"/>
        <v>0</v>
      </c>
      <c r="Y55" s="323">
        <f t="shared" si="0"/>
        <v>0</v>
      </c>
      <c r="Z55" s="323">
        <f t="shared" si="0"/>
        <v>0</v>
      </c>
      <c r="AA55" s="322">
        <f t="shared" si="0"/>
        <v>0</v>
      </c>
      <c r="AB55" s="323">
        <f t="shared" si="0"/>
        <v>0</v>
      </c>
      <c r="AC55" s="323">
        <f t="shared" si="0"/>
        <v>0</v>
      </c>
      <c r="AD55" s="322"/>
      <c r="AE55" s="362"/>
      <c r="AF55" s="362"/>
      <c r="AG55" s="362"/>
      <c r="AH55" s="362"/>
      <c r="AI55" s="322"/>
      <c r="AJ55" s="362"/>
      <c r="AK55" s="362"/>
      <c r="AL55" s="362"/>
      <c r="AM55" s="362"/>
      <c r="AN55" s="322">
        <f t="shared" ref="AN55:AU55" si="1">MIN(MAX(0,AN56),MAX(0,AN57))</f>
        <v>0</v>
      </c>
      <c r="AO55" s="323">
        <f t="shared" si="1"/>
        <v>0</v>
      </c>
      <c r="AP55" s="323">
        <f t="shared" si="1"/>
        <v>0</v>
      </c>
      <c r="AQ55" s="323">
        <f t="shared" si="1"/>
        <v>0</v>
      </c>
      <c r="AR55" s="323">
        <f t="shared" si="1"/>
        <v>0</v>
      </c>
      <c r="AS55" s="322">
        <f t="shared" si="1"/>
        <v>0</v>
      </c>
      <c r="AT55" s="324">
        <f t="shared" si="1"/>
        <v>0</v>
      </c>
      <c r="AU55" s="324">
        <f t="shared" si="1"/>
        <v>0</v>
      </c>
      <c r="AV55" s="368"/>
      <c r="AW55" s="374"/>
    </row>
    <row r="56" spans="2:49" ht="11.85" customHeight="1" x14ac:dyDescent="0.2">
      <c r="B56" s="343" t="s">
        <v>120</v>
      </c>
      <c r="C56" s="335" t="s">
        <v>412</v>
      </c>
      <c r="D56" s="318"/>
      <c r="E56" s="319"/>
      <c r="F56" s="319"/>
      <c r="G56" s="319"/>
      <c r="H56" s="319"/>
      <c r="I56" s="318"/>
      <c r="J56" s="318">
        <v>5.98</v>
      </c>
      <c r="K56" s="319">
        <v>5.98</v>
      </c>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v>0</v>
      </c>
      <c r="E5" s="454"/>
      <c r="F5" s="454"/>
      <c r="G5" s="448"/>
      <c r="H5" s="402">
        <v>7132</v>
      </c>
      <c r="I5" s="403">
        <v>1987.17</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v>0</v>
      </c>
      <c r="E6" s="400">
        <f>SUM('Pt 1 Summary of Data'!E$12,'Pt 1 Summary of Data'!E$22)+SUM('Pt 1 Summary of Data'!G$12,'Pt 1 Summary of Data'!G$22)-SUM('Pt 1 Summary of Data'!H$12,'Pt 1 Summary of Data'!H$22)</f>
        <v>0</v>
      </c>
      <c r="F6" s="400">
        <f t="shared" ref="F6:F11" si="0">SUM(C6:E6)</f>
        <v>0</v>
      </c>
      <c r="G6" s="401">
        <f>SUM('Pt 1 Summary of Data'!I$12,'Pt 1 Summary of Data'!I$22)</f>
        <v>0</v>
      </c>
      <c r="H6" s="397">
        <v>7107.06</v>
      </c>
      <c r="I6" s="398">
        <v>1661.74</v>
      </c>
      <c r="J6" s="400">
        <f>SUM('Pt 1 Summary of Data'!K$12,'Pt 1 Summary of Data'!K$22)+SUM('Pt 1 Summary of Data'!M$12,'Pt 1 Summary of Data'!M$22)-SUM('Pt 1 Summary of Data'!N$12,'Pt 1 Summary of Data'!N$22)</f>
        <v>491.57</v>
      </c>
      <c r="K6" s="400">
        <f>SUM(H6:J6)</f>
        <v>9260.3700000000008</v>
      </c>
      <c r="L6" s="401">
        <f>SUM('Pt 1 Summary of Data'!O$12,'Pt 1 Summary of Data'!O$22)</f>
        <v>0</v>
      </c>
      <c r="M6" s="397"/>
      <c r="N6" s="398"/>
      <c r="O6" s="400">
        <f>SUM('Pt 1 Summary of Data'!Q$12,'Pt 1 Summary of Data'!Q$22)+SUM('Pt 1 Summary of Data'!S$12,'Pt 1 Summary of Data'!S$22)-SUM('Pt 1 Summary of Data'!T$12,'Pt 1 Summary of Data'!T$22)</f>
        <v>0</v>
      </c>
      <c r="P6" s="400">
        <f>SUM(M6:O6)</f>
        <v>0</v>
      </c>
      <c r="Q6" s="397"/>
      <c r="R6" s="398"/>
      <c r="S6" s="400">
        <f>SUM('Pt 1 Summary of Data'!V$12,'Pt 1 Summary of Data'!V$22)</f>
        <v>0</v>
      </c>
      <c r="T6" s="400">
        <f>SUM(Q6:S6)</f>
        <v>0</v>
      </c>
      <c r="U6" s="397"/>
      <c r="V6" s="398"/>
      <c r="W6" s="400">
        <f>SUM('Pt 1 Summary of Data'!Y$12,'Pt 1 Summary of Data'!Y$22)</f>
        <v>0</v>
      </c>
      <c r="X6" s="400">
        <f>SUM(U6:W6)</f>
        <v>0</v>
      </c>
      <c r="Y6" s="397"/>
      <c r="Z6" s="398"/>
      <c r="AA6" s="400">
        <f>SUM('Pt 1 Summary of Data'!AB$12,'Pt 1 Summary of Data'!AB$22)</f>
        <v>0</v>
      </c>
      <c r="AB6" s="400">
        <f>SUM(Y6:AA6)</f>
        <v>0</v>
      </c>
      <c r="AC6" s="443"/>
      <c r="AD6" s="441"/>
      <c r="AE6" s="441"/>
      <c r="AF6" s="441"/>
      <c r="AG6" s="443"/>
      <c r="AH6" s="441"/>
      <c r="AI6" s="441"/>
      <c r="AJ6" s="441"/>
      <c r="AK6" s="397"/>
      <c r="AL6" s="398"/>
      <c r="AM6" s="400">
        <f>SUM('Pt 1 Summary of Data'!AO$12,'Pt 1 Summary of Data'!AO$22)+SUM('Pt 1 Summary of Data'!AQ$12,'Pt 1 Summary of Data'!AQ$22)-SUM('Pt 1 Summary of Data'!AR$12,'Pt 1 Summary of Data'!AR$22)</f>
        <v>0</v>
      </c>
      <c r="AN6" s="430">
        <f>SUM(AK6:AM6)</f>
        <v>0</v>
      </c>
    </row>
    <row r="7" spans="1:40" x14ac:dyDescent="0.2">
      <c r="B7" s="415" t="s">
        <v>310</v>
      </c>
      <c r="C7" s="397"/>
      <c r="D7" s="398">
        <v>0</v>
      </c>
      <c r="E7" s="400">
        <f>SUM('Pt 1 Summary of Data'!E$37:E$41)+SUM('Pt 1 Summary of Data'!G$37:G$41)-SUM('Pt 1 Summary of Data'!H$37:H$41)+MAX(0,MIN('Pt 1 Summary of Data'!E$42+'Pt 1 Summary of Data'!G$42-'Pt 1 Summary of Data'!H$42,0.3%*('Pt 1 Summary of Data'!E$5+'Pt 1 Summary of Data'!G$5-'Pt 1 Summary of Data'!H$5-SUM(E$9:E$11))))</f>
        <v>0</v>
      </c>
      <c r="F7" s="400">
        <f t="shared" si="0"/>
        <v>0</v>
      </c>
      <c r="G7" s="401">
        <f>SUM('Pt 1 Summary of Data'!I$37:I$41)+MAX(0,MIN(VALUE('Pt 1 Summary of Data'!I$42),0.3%*('Pt 1 Summary of Data'!I$5-SUM(G$9:G$10))))</f>
        <v>0</v>
      </c>
      <c r="H7" s="397">
        <v>618.47</v>
      </c>
      <c r="I7" s="398">
        <v>1538.84</v>
      </c>
      <c r="J7" s="400">
        <f>SUM('Pt 1 Summary of Data'!K$37:K$41)+SUM('Pt 1 Summary of Data'!M$37:M$41)-SUM('Pt 1 Summary of Data'!N$37:N$41)+MAX(0,MIN('Pt 1 Summary of Data'!K$42+'Pt 1 Summary of Data'!M$42-'Pt 1 Summary of Data'!N$42,0.3%*('Pt 1 Summary of Data'!K$5+'Pt 1 Summary of Data'!M$5-'Pt 1 Summary of Data'!N$5-SUM(J$10:J$11))))</f>
        <v>50.600000000000009</v>
      </c>
      <c r="K7" s="400">
        <f>SUM(H7:J7)</f>
        <v>2207.91</v>
      </c>
      <c r="L7" s="401">
        <f>SUM('Pt 1 Summary of Data'!O$37:O$41)+MAX(0,MIN(VALUE('Pt 1 Summary of Data'!O$42),0.3%*('Pt 1 Summary of Data'!O$5-L$10)))</f>
        <v>0</v>
      </c>
      <c r="M7" s="397"/>
      <c r="N7" s="398"/>
      <c r="O7" s="400">
        <f>SUM('Pt 1 Summary of Data'!Q$37:Q$41)+SUM('Pt 1 Summary of Data'!S$37:S$41)-SUM('Pt 1 Summary of Data'!T$37:T$41)+MAX(0,MIN('Pt 1 Summary of Data'!Q$42+'Pt 1 Summary of Data'!S$42-'Pt 1 Summary of Data'!T$42,0.3%*('Pt 1 Summary of Data'!Q$5+'Pt 1 Summary of Data'!S$5-'Pt 1 Summary of Data'!T$5)))</f>
        <v>0</v>
      </c>
      <c r="P7" s="400">
        <f>SUM(M7:O7)</f>
        <v>0</v>
      </c>
      <c r="Q7" s="397"/>
      <c r="R7" s="398"/>
      <c r="S7" s="400">
        <f>SUM('Pt 1 Summary of Data'!V$37:V$41)+MAX(0,MIN('Pt 1 Summary of Data'!V$42,0.3%*'Pt 1 Summary of Data'!V$5))</f>
        <v>0</v>
      </c>
      <c r="T7" s="400">
        <f>SUM(Q7:S7)</f>
        <v>0</v>
      </c>
      <c r="U7" s="397"/>
      <c r="V7" s="398"/>
      <c r="W7" s="400">
        <f>SUM('Pt 1 Summary of Data'!Y$37:Y$41)+MAX(0,MIN('Pt 1 Summary of Data'!Y$42,0.3%*'Pt 1 Summary of Data'!Y$5))</f>
        <v>0</v>
      </c>
      <c r="X7" s="400">
        <f>SUM(U7:W7)</f>
        <v>0</v>
      </c>
      <c r="Y7" s="397"/>
      <c r="Z7" s="398"/>
      <c r="AA7" s="400">
        <f>SUM('Pt 1 Summary of Data'!AB$37:AB$41)+MAX(0,MIN('Pt 1 Summary of Data'!AB$42,0.3%*'Pt 1 Summary of Data'!AB$5))</f>
        <v>0</v>
      </c>
      <c r="AB7" s="400">
        <f>SUM(Y7:AA7)</f>
        <v>0</v>
      </c>
      <c r="AC7" s="443"/>
      <c r="AD7" s="441"/>
      <c r="AE7" s="441"/>
      <c r="AF7" s="441"/>
      <c r="AG7" s="443"/>
      <c r="AH7" s="441"/>
      <c r="AI7" s="441"/>
      <c r="AJ7" s="441"/>
      <c r="AK7" s="397"/>
      <c r="AL7" s="398"/>
      <c r="AM7" s="400">
        <f>SUM('Pt 1 Summary of Data'!AO$37:AO$41)+SUM('Pt 1 Summary of Data'!AQ$37:AQ$41)-SUM('Pt 1 Summary of Data'!AR$37:AR$41)+MAX(0,MIN('Pt 1 Summary of Data'!AO$42+'Pt 1 Summary of Data'!AQ$42-'Pt 1 Summary of Data'!AR$42,0.3%*('Pt 1 Summary of Data'!AO$5+'Pt 1 Summary of Data'!AQ$5-'Pt 1 Summary of Data'!AR$5)))</f>
        <v>0</v>
      </c>
      <c r="AN7" s="430">
        <f>SUM(AK7:AM7)</f>
        <v>0</v>
      </c>
    </row>
    <row r="8" spans="1:40" x14ac:dyDescent="0.2">
      <c r="B8" s="415" t="s">
        <v>495</v>
      </c>
      <c r="C8" s="444"/>
      <c r="D8" s="398"/>
      <c r="E8" s="400">
        <f>'Pt 2 Premium and Claims'!E58+'Pt 2 Premium and Claims'!G58-'Pt 2 Premium and Claims'!H58</f>
        <v>0</v>
      </c>
      <c r="F8" s="400">
        <f t="shared" si="0"/>
        <v>0</v>
      </c>
      <c r="G8" s="401">
        <f>'Pt 2 Premium and Claims'!I58</f>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f>'Pt 2 Premium and Claims'!E$15+'Pt 2 Premium and Claims'!G$15-'Pt 2 Premium and Claims'!H$15</f>
        <v>0</v>
      </c>
      <c r="F9" s="400">
        <f t="shared" si="0"/>
        <v>0</v>
      </c>
      <c r="G9" s="401">
        <f>'Pt 2 Premium and Claims'!I$15</f>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f>'Pt 2 Premium and Claims'!E$16+'Pt 2 Premium and Claims'!G$16-'Pt 2 Premium and Claims'!H$16</f>
        <v>0</v>
      </c>
      <c r="F10" s="400">
        <f t="shared" si="0"/>
        <v>0</v>
      </c>
      <c r="G10" s="401">
        <f>'Pt 2 Premium and Claims'!I$16</f>
        <v>0</v>
      </c>
      <c r="H10" s="443"/>
      <c r="I10" s="398">
        <v>0</v>
      </c>
      <c r="J10" s="400">
        <f>'Pt 2 Premium and Claims'!K$16+'Pt 2 Premium and Claims'!M$16-'Pt 2 Premium and Claims'!N$16</f>
        <v>0</v>
      </c>
      <c r="K10" s="400">
        <f>SUM(H10:J10)</f>
        <v>0</v>
      </c>
      <c r="L10" s="401">
        <f>'Pt 2 Premium and Claims'!O$16</f>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f>'Pt 2 Premium and Claims'!E$17+'Pt 2 Premium and Claims'!G$17-'Pt 2 Premium and Claims'!H$17</f>
        <v>0</v>
      </c>
      <c r="F11" s="400">
        <f t="shared" si="0"/>
        <v>0</v>
      </c>
      <c r="G11" s="450"/>
      <c r="H11" s="443"/>
      <c r="I11" s="398"/>
      <c r="J11" s="400">
        <f>'Pt 2 Premium and Claims'!K$17+'Pt 2 Premium and Claims'!M$17-'Pt 2 Premium and Claims'!N$17</f>
        <v>0</v>
      </c>
      <c r="K11" s="400">
        <f>SUM(H11:J11)</f>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SUM(C$6:C$7)+IF(AND(OR('Company Information'!$C$12="District of Columbia",'Company Information'!$C$12="Massachusetts",'Company Information'!$C$12="Vermont"),SUM($C$6:$F$11,$C$15:$F$16,$C$38:$D$38)&lt;&gt;0),SUM(H$6:H$7),0)</f>
        <v>0</v>
      </c>
      <c r="D12" s="400">
        <f>SUM(D$6:D$7) - SUM(D$8:D$11)+IF(AND(OR('Company Information'!$C$12="District of Columbia",'Company Information'!$C$12="Massachusetts",'Company Information'!$C$12="Vermont"),SUM($C$6:$F$11,$C$15:$F$16,$C$38:$D$38)&lt;&gt;0),SUM(I$6:I$7) - SUM(I$10:I$11),0)</f>
        <v>0</v>
      </c>
      <c r="E12" s="400">
        <f>SUM(E$6:E$7)-SUM(E$8:E$11)+IF(AND(OR('Company Information'!$C$12="District of Columbia",'Company Information'!$C$12="Massachusetts",'Company Information'!$C$12="Vermont"),SUM($C$6:$F$11,$C$15:$F$16,$C$38:$D$38)&lt;&gt;0),SUM(J$6:J$7)-SUM(J$10:J$11),0)</f>
        <v>0</v>
      </c>
      <c r="F12" s="400">
        <f>IFERROR(SUM(C$12:E$12)+C$17*MAX(0,E$50-C$50)+D$17*MAX(0,E$50-D$50),0)</f>
        <v>0</v>
      </c>
      <c r="G12" s="447"/>
      <c r="H12" s="399">
        <f>SUM(H$6:H$7)+IF(AND(OR('Company Information'!$C$12="District of Columbia",'Company Information'!$C$12="Massachusetts",'Company Information'!$C$12="Vermont"),SUM($H$6:$K$11,$H$15:$K$16,$H$38:$I$38)&lt;&gt;0),SUM(C$6:C$7),0)</f>
        <v>7725.5300000000007</v>
      </c>
      <c r="I12" s="400">
        <f>SUM(I$6:I$7) - SUM(I$10:I$11)+IF(AND(OR('Company Information'!$C$12="District of Columbia",'Company Information'!$C$12="Massachusetts",'Company Information'!$C$12="Vermont"),SUM($H$6:$K$11,$H$15:$K$16,$H$38:$I$38)&lt;&gt;0),SUM(D$6:D$7) - SUM(D$8:D$11),0)</f>
        <v>3200.58</v>
      </c>
      <c r="J12" s="400">
        <f>SUM(J$6:J$7)-SUM(J$10:J$11)+IF(AND(OR('Company Information'!$C$12="District of Columbia",'Company Information'!$C$12="Massachusetts",'Company Information'!$C$12="Vermont"),SUM($H$6:$K$11,$H$15:$K$16,$H$38:$I$38)&lt;&gt;0),SUM(E$6:E$7)-SUM(E$8:E$11),0)</f>
        <v>542.16999999999996</v>
      </c>
      <c r="K12" s="400">
        <f>IFERROR(SUM(H$12:J$12)+H$17*MAX(0,J$50-H$50)+I$17*MAX(0,J$50-I$50),0)</f>
        <v>11468.28</v>
      </c>
      <c r="L12" s="447"/>
      <c r="M12" s="399">
        <f>SUM(M$6:M$7)</f>
        <v>0</v>
      </c>
      <c r="N12" s="400">
        <f>SUM(N$6:N$7)</f>
        <v>0</v>
      </c>
      <c r="O12" s="400">
        <f>SUM(O$6:O$7)</f>
        <v>0</v>
      </c>
      <c r="P12" s="400">
        <f>SUM(M$12:O$12)+M$17*MAX(0,O$50-M$50)+N$17*MAX(0,O$50-N$50)</f>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f>1.5*(SUM(Q$6:Q$7)+IF(AND(OR('Company Information'!$C$12="District of Columbia",'Company Information'!$C$12="Massachusetts",'Company Information'!$C$12="Vermont"),SUM($Q$6:$T$7,$Q$15:$T$16,$Q$38:$R$38)&lt;&gt;0),SUM(U$6:U$7),0))</f>
        <v>0</v>
      </c>
      <c r="R13" s="400">
        <f>1.25*(SUM(R$6:R$7)+IF(AND(OR('Company Information'!$C$12="District of Columbia",'Company Information'!$C$12="Massachusetts",'Company Information'!$C$12="Vermont"),SUM($Q$6:$T$7,$Q$15:$T$16,$Q$38:$R$38)&lt;&gt;0),SUM(V$6:V$7),0))</f>
        <v>0</v>
      </c>
      <c r="S13" s="400">
        <f>SUM(S$6:S$7)+IF(AND(OR('Company Information'!$C$12="District of Columbia",'Company Information'!$C$12="Massachusetts",'Company Information'!$C$12="Vermont"),SUM($Q$6:$T$7,$Q$15:$T$16,$Q$38:$R$38)&lt;&gt;0),SUM(W$6:W$7),0)</f>
        <v>0</v>
      </c>
      <c r="T13" s="400">
        <f>IFERROR(SUM(T$6:T$7)+Q$17*MAX(0,S$50-Q$50)+R$17*MAX(0,S$50-R$50)+IF(AND(OR('Company Information'!$C$12="District of Columbia",'Company Information'!$C$12="Massachusetts",'Company Information'!$C$12="Vermont"),SUM($Q$6:$T$7,$Q$15:$T$16,$Q$38:$R$38)&lt;&gt;0),SUM(X$6:X$7),0),0)</f>
        <v>0</v>
      </c>
      <c r="U13" s="399">
        <f>1.5*(SUM(U$6:U$7)+IF(AND(OR('Company Information'!$C$12="District of Columbia",'Company Information'!$C$12="Massachusetts",'Company Information'!$C$12="Vermont"),SUM($U$6:$X$7,$U$15:$X$16,$U$38:$V$38)&lt;&gt;0),SUM(Q$6:Q$7),0))</f>
        <v>0</v>
      </c>
      <c r="V13" s="400">
        <f>1.25*(SUM(V$6:V$7)+IF(AND(OR('Company Information'!$C$12="District of Columbia",'Company Information'!$C$12="Massachusetts",'Company Information'!$C$12="Vermont"),SUM($U$6:$X$7,$U$15:$X$16,$U$38:$V$38)&lt;&gt;0),SUM(R$6:R$7),0))</f>
        <v>0</v>
      </c>
      <c r="W13" s="400">
        <f>SUM(W$6:W$7)+IF(AND(OR('Company Information'!$C$12="District of Columbia",'Company Information'!$C$12="Massachusetts",'Company Information'!$C$12="Vermont"),SUM($U$6:$X$7,$U$15:$X$16,$U$38:$V$38)&lt;&gt;0),SUM(S$6:S$7),0)</f>
        <v>0</v>
      </c>
      <c r="X13" s="400">
        <f>IFERROR(SUM(X$6:X$7)+U$17*MAX(0,W$50-U$50)+V$17*MAX(0,W$50-V$50)+IF(AND(OR('Company Information'!$C$12="District of Columbia",'Company Information'!$C$12="Massachusetts",'Company Information'!$C$12="Vermont"),SUM($U$6:$X$7,$U$15:$X$16,$U$38:$V$38)&lt;&gt;0),SUM(T$6:T$7),0),0)</f>
        <v>0</v>
      </c>
      <c r="Y13" s="399">
        <f>1.5*SUM(Y$6:Y$7)</f>
        <v>0</v>
      </c>
      <c r="Z13" s="400">
        <f>1.25*SUM(Z$6:Z$7)</f>
        <v>0</v>
      </c>
      <c r="AA13" s="400">
        <f>SUM(AA$6:AA$7)</f>
        <v>0</v>
      </c>
      <c r="AB13" s="400">
        <f>SUM(AB$6:AB$7)+Y$17*MAX(0,AA$50-Y$50)+Z$17*MAX(0,AA$50-Z$50)</f>
        <v>0</v>
      </c>
      <c r="AC13" s="443"/>
      <c r="AD13" s="441"/>
      <c r="AE13" s="441"/>
      <c r="AF13" s="441"/>
      <c r="AG13" s="443"/>
      <c r="AH13" s="441"/>
      <c r="AI13" s="441"/>
      <c r="AJ13" s="441"/>
      <c r="AK13" s="399">
        <f>1.15*SUM(AK$6:AK$7)</f>
        <v>0</v>
      </c>
      <c r="AL13" s="400">
        <f>SUM(AL$6:AL$7)</f>
        <v>0</v>
      </c>
      <c r="AM13" s="400">
        <f>SUM(AM$6:AM$7)</f>
        <v>0</v>
      </c>
      <c r="AN13" s="430">
        <f>SUM(AN$6:AN$7)</f>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v>0</v>
      </c>
      <c r="E15" s="395">
        <f>SUM('Pt 1 Summary of Data'!E$5:E$7)+SUM('Pt 1 Summary of Data'!G$5:G$7)-SUM('Pt 1 Summary of Data'!H$5:H$7)-SUM(E$9:E$11)</f>
        <v>0</v>
      </c>
      <c r="F15" s="395">
        <f>SUM(C15:E15)</f>
        <v>0</v>
      </c>
      <c r="G15" s="396">
        <f>SUM('Pt 1 Summary of Data'!I$5:I$7)-SUM(G$9:G$10)</f>
        <v>0</v>
      </c>
      <c r="H15" s="402">
        <v>49268.160000000003</v>
      </c>
      <c r="I15" s="403">
        <v>23657.9</v>
      </c>
      <c r="J15" s="395">
        <f>SUM('Pt 1 Summary of Data'!K$5:K$7)+SUM('Pt 1 Summary of Data'!M$5:M$7)-SUM('Pt 1 Summary of Data'!N$5:N$7)-SUM(J$10:J$11)</f>
        <v>6292.48</v>
      </c>
      <c r="K15" s="395">
        <f>SUM(H15:J15)</f>
        <v>79218.539999999994</v>
      </c>
      <c r="L15" s="396">
        <f>SUM('Pt 1 Summary of Data'!O$5:O$7)-L$10</f>
        <v>0</v>
      </c>
      <c r="M15" s="402"/>
      <c r="N15" s="403"/>
      <c r="O15" s="395">
        <f>SUM('Pt 1 Summary of Data'!Q$5:Q$7)+SUM('Pt 1 Summary of Data'!S$5:S$7)-SUM('Pt 1 Summary of Data'!T$5:T$7)+N$56</f>
        <v>0</v>
      </c>
      <c r="P15" s="395">
        <f>SUM(M15:O15)</f>
        <v>0</v>
      </c>
      <c r="Q15" s="402"/>
      <c r="R15" s="403"/>
      <c r="S15" s="395">
        <f>SUM('Pt 1 Summary of Data'!V$5:V$7)+R$56</f>
        <v>0</v>
      </c>
      <c r="T15" s="395">
        <f>SUM(Q15:S15)</f>
        <v>0</v>
      </c>
      <c r="U15" s="402"/>
      <c r="V15" s="403"/>
      <c r="W15" s="395">
        <f>SUM('Pt 1 Summary of Data'!Y$5:Y$7)+V$56</f>
        <v>0</v>
      </c>
      <c r="X15" s="395">
        <f>SUM(U15:W15)</f>
        <v>0</v>
      </c>
      <c r="Y15" s="402"/>
      <c r="Z15" s="403"/>
      <c r="AA15" s="395">
        <f>SUM('Pt 1 Summary of Data'!AB$5:AB$7)+Z$56</f>
        <v>0</v>
      </c>
      <c r="AB15" s="395">
        <f>SUM(Y15:AA15)</f>
        <v>0</v>
      </c>
      <c r="AC15" s="455"/>
      <c r="AD15" s="454"/>
      <c r="AE15" s="454"/>
      <c r="AF15" s="454"/>
      <c r="AG15" s="455"/>
      <c r="AH15" s="454"/>
      <c r="AI15" s="454"/>
      <c r="AJ15" s="454"/>
      <c r="AK15" s="402"/>
      <c r="AL15" s="403"/>
      <c r="AM15" s="395">
        <f>SUM('Pt 1 Summary of Data'!AO$5:AO$7)+SUM('Pt 1 Summary of Data'!AQ$5:AQ$7)-SUM('Pt 1 Summary of Data'!AR$5:AR$7)+AL$56</f>
        <v>0</v>
      </c>
      <c r="AN15" s="431">
        <f>SUM(AK15:AM15)</f>
        <v>0</v>
      </c>
    </row>
    <row r="16" spans="1:40" x14ac:dyDescent="0.2">
      <c r="B16" s="415" t="s">
        <v>311</v>
      </c>
      <c r="C16" s="397"/>
      <c r="D16" s="398">
        <v>0</v>
      </c>
      <c r="E16" s="400">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0</v>
      </c>
      <c r="F16" s="400">
        <f>SUM(C16:E16)</f>
        <v>0</v>
      </c>
      <c r="G16" s="401">
        <f>SUM('Pt 1 Summary of Data'!I$25:I$28,'Pt 1 Summary of Data'!I$30,'Pt 1 Summary of Data'!I$34:I$35)+IF('Company Information'!$C$15="No",IF(MAX('Pt 1 Summary of Data'!I$31:I$32)=0,MIN('Pt 1 Summary of Data'!I$31:I$32),MAX('Pt 1 Summary of Data'!I$31:I$32)),SUM('Pt 1 Summary of Data'!I$31:I$32))</f>
        <v>0</v>
      </c>
      <c r="H16" s="397">
        <v>9331.6200000000008</v>
      </c>
      <c r="I16" s="398">
        <v>32853.69</v>
      </c>
      <c r="J16" s="400">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-1083.5600000000002</v>
      </c>
      <c r="K16" s="400">
        <f>SUM(H16:J16)</f>
        <v>41101.750000000007</v>
      </c>
      <c r="L16" s="401">
        <f>SUM('Pt 1 Summary of Data'!O$25:O$28,'Pt 1 Summary of Data'!O$30,'Pt 1 Summary of Data'!O$34:O$35)+IF('Company Information'!$C$15="No",IF(MAX('Pt 1 Summary of Data'!O$31:O$32)=0,MIN('Pt 1 Summary of Data'!O$31:O$32),MAX('Pt 1 Summary of Data'!O$31:O$32)),SUM('Pt 1 Summary of Data'!O$31:O$32))</f>
        <v>0</v>
      </c>
      <c r="M16" s="397"/>
      <c r="N16" s="398"/>
      <c r="O16" s="400">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0</v>
      </c>
      <c r="P16" s="400">
        <f>SUM(M16:O16)</f>
        <v>0</v>
      </c>
      <c r="Q16" s="397"/>
      <c r="R16" s="398"/>
      <c r="S16" s="400">
        <f>SUM('Pt 1 Summary of Data'!V$25:V$28,'Pt 1 Summary of Data'!V$30,'Pt 1 Summary of Data'!V$34:V$35)+IF('Company Information'!$C$15="No",IF(MAX('Pt 1 Summary of Data'!V$31:V$32)=0,MIN('Pt 1 Summary of Data'!V$31:V$32),MAX('Pt 1 Summary of Data'!V$31:V$32)),SUM('Pt 1 Summary of Data'!V$31:V$32))+R$57</f>
        <v>0</v>
      </c>
      <c r="T16" s="400">
        <f>SUM(Q16:S16)</f>
        <v>0</v>
      </c>
      <c r="U16" s="397"/>
      <c r="V16" s="398"/>
      <c r="W16" s="400">
        <f>SUM('Pt 1 Summary of Data'!Y$25:Y$28,'Pt 1 Summary of Data'!Y$30,'Pt 1 Summary of Data'!Y$34:Y$35)+IF('Company Information'!$C$15="No",IF(MAX('Pt 1 Summary of Data'!Y$31:Y$32)=0,MIN('Pt 1 Summary of Data'!Y$31:Y$32),MAX('Pt 1 Summary of Data'!Y$31:Y$32)),SUM('Pt 1 Summary of Data'!Y$31:Y$32))+V$57</f>
        <v>0</v>
      </c>
      <c r="X16" s="400">
        <f>SUM(U16:W16)</f>
        <v>0</v>
      </c>
      <c r="Y16" s="397"/>
      <c r="Z16" s="398"/>
      <c r="AA16" s="400">
        <f>SUM('Pt 1 Summary of Data'!AB$25:AB$28,'Pt 1 Summary of Data'!AB$30,'Pt 1 Summary of Data'!AB$34:AB$35)+IF('Company Information'!$C$15="No",IF(MAX('Pt 1 Summary of Data'!AB$31:AB$32)=0,MIN('Pt 1 Summary of Data'!AB$31:AB$32),MAX('Pt 1 Summary of Data'!AB$31:AB$32)),SUM('Pt 1 Summary of Data'!AB$31:AB$32))+Z$57</f>
        <v>0</v>
      </c>
      <c r="AB16" s="400">
        <f>SUM(Y16:AA16)</f>
        <v>0</v>
      </c>
      <c r="AC16" s="443"/>
      <c r="AD16" s="441"/>
      <c r="AE16" s="441"/>
      <c r="AF16" s="441"/>
      <c r="AG16" s="443"/>
      <c r="AH16" s="441"/>
      <c r="AI16" s="441"/>
      <c r="AJ16" s="441"/>
      <c r="AK16" s="397"/>
      <c r="AL16" s="398"/>
      <c r="AM16" s="400">
        <f>SUM('Pt 1 Summary of Data'!AO$25:AO$28,'Pt 1 Summary of Data'!AO$30,'Pt 1 Summary of Data'!AO$34:AO$35)+SUM('Pt 1 Summary of Data'!AQ$25:AQ$28,'Pt 1 Summary of Data'!AQ$30,'Pt 1 Summary of Data'!AQ$34:AQ$35)-SUM('Pt 1 Summary of Data'!AR$25:AR$28,'Pt 1 Summary of Data'!AR$30,'Pt 1 Summary of Data'!AR$34:AR$35)+IF('Company Information'!$C$15="No",IF(MAX('Pt 1 Summary of Data'!AO$31:AO$32)=0,MIN('Pt 1 Summary of Data'!AO$31:AO$32),MAX('Pt 1 Summary of Data'!AO$31:AO$32))+IF(MAX('Pt 1 Summary of Data'!AQ$31:AQ$32)=0,MIN('Pt 1 Summary of Data'!AQ$31:AQ$32),MAX('Pt 1 Summary of Data'!AQ$31:AQ$32))-IF(MAX('Pt 1 Summary of Data'!AR$31:AR$32)=0,MIN('Pt 1 Summary of Data'!AR$31:AR$32),MAX('Pt 1 Summary of Data'!AR$31:AR$32)),SUM('Pt 1 Summary of Data'!AO$31:AO$32)+SUM('Pt 1 Summary of Data'!AQ$31:AQ$32)-SUM('Pt 1 Summary of Data'!AR$31:AR$32))+AL$57</f>
        <v>0</v>
      </c>
      <c r="AN16" s="430">
        <f>SUM(AK16:AM16)</f>
        <v>0</v>
      </c>
    </row>
    <row r="17" spans="1:40" s="65" customFormat="1" x14ac:dyDescent="0.2">
      <c r="A17" s="108"/>
      <c r="B17" s="416" t="s">
        <v>318</v>
      </c>
      <c r="C17" s="399">
        <f>C$15-C$16+IF(AND(OR('Company Information'!$C$12="District of Columbia",'Company Information'!$C$12="Massachusetts",'Company Information'!$C$12="Vermont"),SUM($C$6:$F$11,$C$15:$F$16,$C$38:$D$38)&lt;&gt;0),H$15-H$16,0)</f>
        <v>0</v>
      </c>
      <c r="D17" s="400">
        <f>D$15-D$16+IF(AND(OR('Company Information'!$C$12="District of Columbia",'Company Information'!$C$12="Massachusetts",'Company Information'!$C$12="Vermont"),SUM($C$6:$F$11,$C$15:$F$16,$C$38:$D$38)&lt;&gt;0),I$15-I$16,0)</f>
        <v>0</v>
      </c>
      <c r="E17" s="400">
        <f>E$15-E$16+IF(AND(OR('Company Information'!$C$12="District of Columbia",'Company Information'!$C$12="Massachusetts",'Company Information'!$C$12="Vermont"),SUM($C$6:$F$11,$C$15:$F$16,$C$38:$D$38)&lt;&gt;0),J$15-J$16,0)</f>
        <v>0</v>
      </c>
      <c r="F17" s="400">
        <f>F$15-F$16+IF(AND(OR('Company Information'!$C$12="District of Columbia",'Company Information'!$C$12="Massachusetts",'Company Information'!$C$12="Vermont"),SUM($C$6:$F$11,$C$15:$F$16,$C$38:$D$38)&lt;&gt;0),K$15-K$16,0)</f>
        <v>0</v>
      </c>
      <c r="G17" s="450"/>
      <c r="H17" s="399">
        <f>H$15-H$16+IF(AND(OR('Company Information'!$C$12="District of Columbia",'Company Information'!$C$12="Massachusetts",'Company Information'!$C$12="Vermont"),SUM($H$6:$K$11,$H$15:$K$16,$H$38:$I$38)&lt;&gt;0),C$15-C$16,0)</f>
        <v>39936.54</v>
      </c>
      <c r="I17" s="400">
        <f>I$15-I$16+IF(AND(OR('Company Information'!$C$12="District of Columbia",'Company Information'!$C$12="Massachusetts",'Company Information'!$C$12="Vermont"),SUM($H$6:$K$11,$H$15:$K$16,$H$38:$I$38)&lt;&gt;0),D$15-D$16,0)</f>
        <v>-9195.7900000000009</v>
      </c>
      <c r="J17" s="400">
        <f>J$15-J$16+IF(AND(OR('Company Information'!$C$12="District of Columbia",'Company Information'!$C$12="Massachusetts",'Company Information'!$C$12="Vermont"),SUM($H$6:$K$11,$H$15:$K$16,$H$38:$I$38)&lt;&gt;0),E$15-E$16,0)</f>
        <v>7376.04</v>
      </c>
      <c r="K17" s="400">
        <f>K$15-K$16+IF(AND(OR('Company Information'!$C$12="District of Columbia",'Company Information'!$C$12="Massachusetts",'Company Information'!$C$12="Vermont"),SUM($H$6:$K$11,$H$15:$K$16,$H$38:$I$38)&lt;&gt;0),F$15-F$16,0)</f>
        <v>38116.789999999986</v>
      </c>
      <c r="L17" s="450"/>
      <c r="M17" s="399">
        <f>M$15-M$16</f>
        <v>0</v>
      </c>
      <c r="N17" s="400">
        <f>N$15-N$16</f>
        <v>0</v>
      </c>
      <c r="O17" s="400">
        <f>O$15-O$16</f>
        <v>0</v>
      </c>
      <c r="P17" s="400">
        <f>P$15-P$16</f>
        <v>0</v>
      </c>
      <c r="Q17" s="399">
        <f>Q$15-Q$16+IF(AND(OR('Company Information'!$C$12="District of Columbia",'Company Information'!$C$12="Massachusetts",'Company Information'!$C$12="Vermont"),SUM($Q$6:$T$7,$Q$15:$T$16,$Q$38:$R$38)&lt;&gt;0),U$15-U$16,0)</f>
        <v>0</v>
      </c>
      <c r="R17" s="400">
        <f>R$15-R$16+IF(AND(OR('Company Information'!$C$12="District of Columbia",'Company Information'!$C$12="Massachusetts",'Company Information'!$C$12="Vermont"),SUM($Q$6:$T$7,$Q$15:$T$16,$Q$38:$R$38)&lt;&gt;0),V$15-V$16,0)</f>
        <v>0</v>
      </c>
      <c r="S17" s="400">
        <f>S$15-S$16+IF(AND(OR('Company Information'!$C$12="District of Columbia",'Company Information'!$C$12="Massachusetts",'Company Information'!$C$12="Vermont"),SUM($Q$6:$T$7,$Q$15:$T$16,$Q$38:$R$38)&lt;&gt;0),W$15-W$16,0)</f>
        <v>0</v>
      </c>
      <c r="T17" s="400">
        <f>T$15-T$16+IF(AND(OR('Company Information'!$C$12="District of Columbia",'Company Information'!$C$12="Massachusetts",'Company Information'!$C$12="Vermont"),SUM($Q$6:$T$7,$Q$15:$T$16,$Q$38:$R$38)&lt;&gt;0),X$15-X$16,0)</f>
        <v>0</v>
      </c>
      <c r="U17" s="399">
        <f>U$15-U$16+IF(AND(OR('Company Information'!$C$12="District of Columbia",'Company Information'!$C$12="Massachusetts",'Company Information'!$C$12="Vermont"),SUM($U$6:$X$7,$U$15:$X$16,$U$38:$V$38)&lt;&gt;0),Q$15-Q$16,0)</f>
        <v>0</v>
      </c>
      <c r="V17" s="400">
        <f>V$15-V$16+IF(AND(OR('Company Information'!$C$12="District of Columbia",'Company Information'!$C$12="Massachusetts",'Company Information'!$C$12="Vermont"),SUM($U$6:$X$7,$U$15:$X$16,$U$38:$V$38)&lt;&gt;0),R$15-R$16,0)</f>
        <v>0</v>
      </c>
      <c r="W17" s="400">
        <f>W$15-W$16+IF(AND(OR('Company Information'!$C$12="District of Columbia",'Company Information'!$C$12="Massachusetts",'Company Information'!$C$12="Vermont"),SUM($U$6:$X$7,$U$15:$X$16,$U$38:$V$38)&lt;&gt;0),S$15-S$16,0)</f>
        <v>0</v>
      </c>
      <c r="X17" s="400">
        <f>X$15-X$16+IF(AND(OR('Company Information'!$C$12="District of Columbia",'Company Information'!$C$12="Massachusetts",'Company Information'!$C$12="Vermont"),SUM($U$6:$X$7,$U$15:$X$16,$U$38:$V$38)&lt;&gt;0),T$15-T$16,0)</f>
        <v>0</v>
      </c>
      <c r="Y17" s="399">
        <f>Y$15-Y$16</f>
        <v>0</v>
      </c>
      <c r="Z17" s="400">
        <f>Z$15-Z$16</f>
        <v>0</v>
      </c>
      <c r="AA17" s="400">
        <f>AA$15-AA$16</f>
        <v>0</v>
      </c>
      <c r="AB17" s="400">
        <f>AB$15-AB$16</f>
        <v>0</v>
      </c>
      <c r="AC17" s="443"/>
      <c r="AD17" s="441"/>
      <c r="AE17" s="441"/>
      <c r="AF17" s="441"/>
      <c r="AG17" s="443"/>
      <c r="AH17" s="441"/>
      <c r="AI17" s="441"/>
      <c r="AJ17" s="441"/>
      <c r="AK17" s="399">
        <f>AK$15-AK$16</f>
        <v>0</v>
      </c>
      <c r="AL17" s="400">
        <f>AL$15-AL$16</f>
        <v>0</v>
      </c>
      <c r="AM17" s="400">
        <f>AM$15-AM$16</f>
        <v>0</v>
      </c>
      <c r="AN17" s="430">
        <f>AN$15-AN$16</f>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f>SUM(G$6:G$7)-SUM(G$8:G$10)+IF(AND(OR('Company Information'!$C$12="District of Columbia",'Company Information'!$C$12="Massachusetts",'Company Information'!$C$12="Vermont"),SUM($G$6:$G$10,$G$15:$G$16)&lt;&gt;0),SUM(L$6:L$7)-L$10,0)+G$58</f>
        <v>0</v>
      </c>
      <c r="H19" s="455"/>
      <c r="I19" s="454"/>
      <c r="J19" s="454"/>
      <c r="K19" s="454"/>
      <c r="L19" s="396">
        <f>SUM(L$6:L$7)-L$10+IF(AND(OR('Company Information'!$C$12="District of Columbia",'Company Information'!$C$12="Massachusetts",'Company Information'!$C$12="Vermont"),SUM($L$6:$L$10,$L$15:$L$16)&lt;&gt;0),SUM(G$6:G$7)-SUM(G$8:G$10),0)+L$58</f>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f>SUM('Pt 1 Summary of Data'!I$44:I$47,'Pt 1 Summary of Data'!I$49:I$51)+IF(AND(OR('Company Information'!$C$12="District of Columbia",'Company Information'!$C$12="Massachusetts",'Company Information'!$C$12="Vermont"),SUM($G$6:$G$10,$G$15:$G$16)&lt;&gt;0),SUM('Pt 1 Summary of Data'!O$44:O$47,'Pt 1 Summary of Data'!O$49:O$51),0)</f>
        <v>0</v>
      </c>
      <c r="H20" s="443"/>
      <c r="I20" s="441"/>
      <c r="J20" s="441"/>
      <c r="K20" s="441"/>
      <c r="L20" s="401">
        <f>SUM('Pt 1 Summary of Data'!O$44:O$47,'Pt 1 Summary of Data'!O$49:O$51)+IF(AND(OR('Company Information'!$C$12="District of Columbia",'Company Information'!$C$12="Massachusetts",'Company Information'!$C$12="Vermont"),SUM($L$6:$L$10,$L$15:$L$16)&lt;&gt;0),SUM('Pt 1 Summary of Data'!I$44:I$47,'Pt 1 Summary of Data'!I$49:I$51),0)</f>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f>MAX(G$22,G$23)</f>
        <v>0</v>
      </c>
      <c r="H21" s="443"/>
      <c r="I21" s="441"/>
      <c r="J21" s="441"/>
      <c r="K21" s="441"/>
      <c r="L21" s="401">
        <f>MAX(L$22,L$23)</f>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f>G$15-G$19-G$16-G$20+IF(AND(OR('Company Information'!$C$12="District of Columbia",'Company Information'!$C$12="Massachusetts",'Company Information'!$C$12="Vermont"),SUM($G$6:$G$10,$G$15:$G$16)&lt;&gt;0),L$15-L$16,0)</f>
        <v>0</v>
      </c>
      <c r="H22" s="443"/>
      <c r="I22" s="441"/>
      <c r="J22" s="441"/>
      <c r="K22" s="441"/>
      <c r="L22" s="401">
        <f>L$15-L$19-L$16-L$20+IF(AND(OR('Company Information'!$C$12="District of Columbia",'Company Information'!$C$12="Massachusetts",'Company Information'!$C$12="Vermont"),SUM($L$6:$L$10,$L$15:$L$16)&lt;&gt;0),G$15-G$16,0)</f>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f>(3%+2%)*(G$15-G$16+IF(AND(OR('Company Information'!$C$12="District of Columbia",'Company Information'!$C$12="Massachusetts",'Company Information'!$C$12="Vermont"),SUM($G$6:$G$10,$G$15:$G$16)&lt;&gt;0),L$15-L$16,0))</f>
        <v>0</v>
      </c>
      <c r="H23" s="443"/>
      <c r="I23" s="441"/>
      <c r="J23" s="441"/>
      <c r="K23" s="441"/>
      <c r="L23" s="401">
        <f>(3%+2%)*(L$15-L$16+IF(AND(OR('Company Information'!$C$12="District of Columbia",'Company Information'!$C$12="Massachusetts",'Company Information'!$C$12="Vermont"),SUM($L$6:$L$10,$L$15:$L$16)&lt;&gt;0),G$15-G$16,0))</f>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f>3%*(G$15-G$16+IF(AND(OR('Company Information'!$C$12="District of Columbia",'Company Information'!$C$12="Massachusetts",'Company Information'!$C$12="Vermont"),SUM($G$6:$G$10,$G$15:$G$16)&lt;&gt;0),L$15-L$16,0))</f>
        <v>0</v>
      </c>
      <c r="H24" s="443"/>
      <c r="I24" s="441"/>
      <c r="J24" s="441"/>
      <c r="K24" s="441"/>
      <c r="L24" s="401">
        <f>3%*(L$15-L$16+IF(AND(OR('Company Information'!$C$12="District of Columbia",'Company Information'!$C$12="Massachusetts",'Company Information'!$C$12="Vermont"),SUM($L$6:$L$10,$L$15:$L$16)&lt;&gt;0),G$15-G$16,0))</f>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f>MIN(G$26,G$27)</f>
        <v>0</v>
      </c>
      <c r="H25" s="443"/>
      <c r="I25" s="441"/>
      <c r="J25" s="441"/>
      <c r="K25" s="441"/>
      <c r="L25" s="401">
        <f>MIN(L$26,L$27)</f>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f>G$20+G$21+G$16+IF(AND(OR('Company Information'!$C$12="District of Columbia",'Company Information'!$C$12="Massachusetts",'Company Information'!$C$12="Vermont"),SUM($G$6:$G$10,$G$15:$G$16)&lt;&gt;0),L$16,0)</f>
        <v>0</v>
      </c>
      <c r="H26" s="443"/>
      <c r="I26" s="441"/>
      <c r="J26" s="441"/>
      <c r="K26" s="441"/>
      <c r="L26" s="401">
        <f>L$20+L$21+L$16+IF(AND(OR('Company Information'!$C$12="District of Columbia",'Company Information'!$C$12="Massachusetts",'Company Information'!$C$12="Vermont"),SUM($L$6:$L$10,$L$15:$L$16)&lt;&gt;0),G$16,0)</f>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3"/>
      <c r="I27" s="441"/>
      <c r="J27" s="441"/>
      <c r="K27" s="441"/>
      <c r="L27" s="401">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f>G$15+IF(AND(OR('Company Information'!$C$12="District of Columbia",'Company Information'!$C$12="Massachusetts",'Company Information'!$C$12="Vermont"),SUM($G$6:$G$10,$G$15:$G$16)&lt;&gt;0),L$15,0)-G$25</f>
        <v>0</v>
      </c>
      <c r="H28" s="443"/>
      <c r="I28" s="441"/>
      <c r="J28" s="441"/>
      <c r="K28" s="441"/>
      <c r="L28" s="401">
        <f>L$15+IF(AND(OR('Company Information'!$C$12="District of Columbia",'Company Information'!$C$12="Massachusetts",'Company Information'!$C$12="Vermont"),SUM($L$6:$L$10,$L$15:$L$16)&lt;&gt;0),G$15,0)-L$25</f>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f>MIN(G$31,G$32)</f>
        <v>0</v>
      </c>
      <c r="H29" s="443"/>
      <c r="I29" s="441"/>
      <c r="J29" s="441"/>
      <c r="K29" s="441"/>
      <c r="L29" s="401">
        <f>MIN(L$31,L$32)</f>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f>MAX(G$22,G$24)</f>
        <v>0</v>
      </c>
      <c r="H30" s="443"/>
      <c r="I30" s="441"/>
      <c r="J30" s="441"/>
      <c r="K30" s="441"/>
      <c r="L30" s="471">
        <f>MAX(L$22,L$24)</f>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f>G$20+G30+G$16+IF(AND(OR('Company Information'!$C$12="District of Columbia",'Company Information'!$C$12="Massachusetts",'Company Information'!$C$12="Vermont"),SUM($G$6:$G$10,$G$15:$G$16)&lt;&gt;0),L$16,0)</f>
        <v>0</v>
      </c>
      <c r="H31" s="443"/>
      <c r="I31" s="441"/>
      <c r="J31" s="441"/>
      <c r="K31" s="441"/>
      <c r="L31" s="401">
        <f>L$20+L30+L$16+IF(AND(OR('Company Information'!$C$12="District of Columbia",'Company Information'!$C$12="Massachusetts",'Company Information'!$C$12="Vermont"),SUM($L$6:$L$10,$L$15:$L$16)&lt;&gt;0),G$16,0)</f>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3"/>
      <c r="I32" s="441"/>
      <c r="J32" s="441"/>
      <c r="K32" s="441"/>
      <c r="L32" s="401">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f>G$15+IF(AND(OR('Company Information'!$C$12="District of Columbia",'Company Information'!$C$12="Massachusetts",'Company Information'!$C$12="Vermont"),SUM($G$6:$G$10,$G$15:$G$16)&lt;&gt;0),L$15,0)-G$29</f>
        <v>0</v>
      </c>
      <c r="H33" s="443"/>
      <c r="I33" s="441"/>
      <c r="J33" s="441"/>
      <c r="K33" s="441"/>
      <c r="L33" s="401">
        <f>L$15+IF(AND(OR('Company Information'!$C$12="District of Columbia",'Company Information'!$C$12="Massachusetts",'Company Information'!$C$12="Vermont"),SUM($L$6:$L$10,$L$15:$L$16)&lt;&gt;0),G$15,0)-L$29</f>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f>IF(G$33=0,0,G$19/G$33)</f>
        <v>0</v>
      </c>
      <c r="H34" s="462"/>
      <c r="I34" s="463"/>
      <c r="J34" s="463"/>
      <c r="K34" s="463"/>
      <c r="L34" s="469">
        <f>IF(L$33=0,0,L$19/L$33)</f>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v>0</v>
      </c>
      <c r="E38" s="432">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2">
        <f>SUM(C$38:E$38)+IF(AND(OR('Company Information'!$C$12="District of Columbia",'Company Information'!$C$12="Massachusetts",'Company Information'!$C$12="Vermont"),SUM($C$6:$F$11,$C$15:$F$16,$C$38:$D$38)&lt;&gt;0,SUM(C$38:D$38)&lt;&gt;SUM(H$38:I$38)),SUM(H$38:I$38),0)</f>
        <v>0</v>
      </c>
      <c r="G38" s="448"/>
      <c r="H38" s="404">
        <v>8</v>
      </c>
      <c r="I38" s="405">
        <v>4</v>
      </c>
      <c r="J38" s="432">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1</v>
      </c>
      <c r="K38" s="432">
        <f>SUM(H$38:J$38)+IF(AND(OR('Company Information'!$C$12="District of Columbia",'Company Information'!$C$12="Massachusetts",'Company Information'!$C$12="Vermont"),SUM($H$6:$K$11,$H$15:$K$16,$H$38:$I$38)&lt;&gt;0,SUM(H$38:I$38)&lt;&gt;SUM(C$38:D$38)),SUM(C$38:D$38),0)</f>
        <v>13</v>
      </c>
      <c r="L38" s="448"/>
      <c r="M38" s="404"/>
      <c r="N38" s="405"/>
      <c r="O38" s="432">
        <f>('Pt 1 Summary of Data'!Q$59+'Pt 1 Summary of Data'!S$59-'Pt 1 Summary of Data'!T$59)/12</f>
        <v>0</v>
      </c>
      <c r="P38" s="432">
        <f>SUM(M$38:O$38)</f>
        <v>0</v>
      </c>
      <c r="Q38" s="404"/>
      <c r="R38" s="405"/>
      <c r="S38" s="432">
        <f>'Pt 1 Summary of Data'!V$59/12+IF(AND(OR('Company Information'!$C$12="District of Columbia",'Company Information'!$C$12="Massachusetts",'Company Information'!$C$12="Vermont"),SUM($Q$6:$T$7,$Q$15:$T$16,$Q$38:$R$38)&lt;&gt;0),'Pt 1 Summary of Data'!Y$59,0)/12</f>
        <v>0</v>
      </c>
      <c r="T38" s="432">
        <f>SUM(Q$38:S$38)+IF(AND(OR('Company Information'!$C$12="District of Columbia",'Company Information'!$C$12="Massachusetts",'Company Information'!$C$12="Vermont"),SUM($Q$6:$T$7,$Q$15:$T$16,$Q$38:$R$38)&lt;&gt;0,SUM(Q$38:R$38)&lt;&gt;SUM(U$38:V$38)),SUM(U$38:V$38),0)</f>
        <v>0</v>
      </c>
      <c r="U38" s="404"/>
      <c r="V38" s="405"/>
      <c r="W38" s="432">
        <f>'Pt 1 Summary of Data'!Y$59/12+IF(AND(OR('Company Information'!$C$12="District of Columbia",'Company Information'!$C$12="Massachusetts",'Company Information'!$C$12="Vermont"),SUM($U$6:$X$7,$U$15:$X$16,$U$38:$V$38)&lt;&gt;0),'Pt 1 Summary of Data'!V$59,0)/12</f>
        <v>0</v>
      </c>
      <c r="X38" s="432">
        <f>SUM(U$38:W$38)+IF(AND(OR('Company Information'!$C$12="District of Columbia",'Company Information'!$C$12="Massachusetts",'Company Information'!$C$12="Vermont"),SUM($U$6:$X$7,$U$15:$X$16,$U$38:$V$38)&lt;&gt;0,SUM(U$38:V$38)&lt;&gt;SUM(Q$38:R$38)),SUM(Q$38:R$38),0)</f>
        <v>0</v>
      </c>
      <c r="Y38" s="404"/>
      <c r="Z38" s="405"/>
      <c r="AA38" s="432">
        <f>'Pt 1 Summary of Data'!AB$59/12</f>
        <v>0</v>
      </c>
      <c r="AB38" s="432">
        <f>SUM(Y$38:AA$38)</f>
        <v>0</v>
      </c>
      <c r="AC38" s="455"/>
      <c r="AD38" s="454"/>
      <c r="AE38" s="454"/>
      <c r="AF38" s="454"/>
      <c r="AG38" s="455"/>
      <c r="AH38" s="454"/>
      <c r="AI38" s="454"/>
      <c r="AJ38" s="454"/>
      <c r="AK38" s="404"/>
      <c r="AL38" s="405"/>
      <c r="AM38" s="432">
        <f>('Pt 1 Summary of Data'!AO$59+'Pt 1 Summary of Data'!AQ$59-'Pt 1 Summary of Data'!AR$59)/12</f>
        <v>0</v>
      </c>
      <c r="AN38" s="433">
        <f>SUM(AK38:AM38)</f>
        <v>0</v>
      </c>
    </row>
    <row r="39" spans="1:40" x14ac:dyDescent="0.2">
      <c r="B39" s="415" t="s">
        <v>320</v>
      </c>
      <c r="C39" s="459"/>
      <c r="D39" s="460"/>
      <c r="E39" s="460"/>
      <c r="F39" s="439">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1"/>
      <c r="H39" s="459"/>
      <c r="I39" s="460"/>
      <c r="J39" s="460"/>
      <c r="K39" s="439">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1"/>
      <c r="M39" s="459"/>
      <c r="N39" s="460"/>
      <c r="O39" s="460"/>
      <c r="P39" s="439">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59"/>
      <c r="R39" s="460"/>
      <c r="S39" s="460"/>
      <c r="T39" s="439">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59"/>
      <c r="V39" s="460"/>
      <c r="W39" s="460"/>
      <c r="X39" s="439">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59"/>
      <c r="Z39" s="460"/>
      <c r="AA39" s="460"/>
      <c r="AB39" s="439">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2"/>
      <c r="AD39" s="463"/>
      <c r="AE39" s="463"/>
      <c r="AF39" s="463"/>
      <c r="AG39" s="462"/>
      <c r="AH39" s="463"/>
      <c r="AI39" s="463"/>
      <c r="AJ39" s="463"/>
      <c r="AK39" s="462"/>
      <c r="AL39" s="460"/>
      <c r="AM39" s="460"/>
      <c r="AN39" s="440">
        <f ca="1">IF(OR(AN$38&lt;1000,AN$38&gt;=75000),0,VLOOKUP(AN$38,'Reference Tables'!$A$4:$B$11,2)+((AN$38-VLOOKUP(AN$38,'Reference Tables'!$A$4:$B$11,1))*(OFFSET(INDEX('Reference Tables'!$A$4:$A$11,MATCH(AN$38,'Reference Tables'!$A$4:$A$11)),1,1)-VLOOKUP(AN$38,'Reference Tables'!$A$4:$B$11,2))/(OFFSET(INDEX('Reference Tables'!$A$4:$A$11,MATCH(AN$38,'Reference Tables'!$A$4:$A$11)),1,0)-VLOOKUP(AN$38,'Reference Tables'!$A$4:$B$11,1))))</f>
        <v>0</v>
      </c>
    </row>
    <row r="40" spans="1:40" s="10" customFormat="1" x14ac:dyDescent="0.2">
      <c r="A40" s="107"/>
      <c r="B40" s="421" t="s">
        <v>321</v>
      </c>
      <c r="C40" s="443"/>
      <c r="D40" s="441"/>
      <c r="E40" s="441"/>
      <c r="F40" s="398"/>
      <c r="G40" s="447"/>
      <c r="H40" s="443"/>
      <c r="I40" s="441"/>
      <c r="J40" s="441"/>
      <c r="K40" s="398">
        <v>1000</v>
      </c>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47"/>
      <c r="H41" s="443"/>
      <c r="I41" s="441"/>
      <c r="J41" s="441"/>
      <c r="K41" s="434">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47"/>
      <c r="M41" s="443"/>
      <c r="N41" s="441"/>
      <c r="O41" s="441"/>
      <c r="P41" s="434">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3"/>
      <c r="R41" s="441"/>
      <c r="S41" s="441"/>
      <c r="T41" s="434">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3"/>
      <c r="V41" s="441"/>
      <c r="W41" s="441"/>
      <c r="X41" s="434">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3"/>
      <c r="Z41" s="441"/>
      <c r="AA41" s="441"/>
      <c r="AB41" s="434">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3"/>
      <c r="AD41" s="441"/>
      <c r="AE41" s="441"/>
      <c r="AF41" s="441"/>
      <c r="AG41" s="443"/>
      <c r="AH41" s="441"/>
      <c r="AI41" s="441"/>
      <c r="AJ41" s="441"/>
      <c r="AK41" s="443"/>
      <c r="AL41" s="441"/>
      <c r="AM41" s="441"/>
      <c r="AN41" s="435">
        <f ca="1">IF(AN$40&lt;2500,1,(MIN(VLOOKUP(AN$40,'Reference Tables'!$A$17:$B$20,2)+((AN$40-VLOOKUP(AN$40,'Reference Tables'!$A$17:$B$20,1))*(OFFSET(INDEX('Reference Tables'!$A$17:$A$20,MATCH(AN$40,'Reference Tables'!$A$17:$A$20)),1,1)-VLOOKUP(AN$40,'Reference Tables'!$A$17:$B$20,2))/(OFFSET(INDEX('Reference Tables'!$A$17:$A$20,MATCH(AN$40,'Reference Tables'!$A$17:$A$20)),1,0)-VLOOKUP(AN$40,'Reference Tables'!$A$17:$B$20,1))),1.736)))</f>
        <v>1</v>
      </c>
    </row>
    <row r="42" spans="1:40" x14ac:dyDescent="0.2">
      <c r="B42" s="415" t="s">
        <v>323</v>
      </c>
      <c r="C42" s="443"/>
      <c r="D42" s="441"/>
      <c r="E42" s="441"/>
      <c r="F42" s="436">
        <f>IF(OR(F$38&lt;1000,F$38&gt;=75000),0,F$39*F$41)</f>
        <v>0</v>
      </c>
      <c r="G42" s="447"/>
      <c r="H42" s="443"/>
      <c r="I42" s="441"/>
      <c r="J42" s="441"/>
      <c r="K42" s="436">
        <f>IF(OR(K$38&lt;1000,K$38&gt;=75000),0,K$39*K$41)</f>
        <v>0</v>
      </c>
      <c r="L42" s="447"/>
      <c r="M42" s="443"/>
      <c r="N42" s="441"/>
      <c r="O42" s="441"/>
      <c r="P42" s="436">
        <f>IF(OR(P$38&lt;1000,P$38&gt;=75000),0,P$39*P$41)</f>
        <v>0</v>
      </c>
      <c r="Q42" s="443"/>
      <c r="R42" s="441"/>
      <c r="S42" s="441"/>
      <c r="T42" s="436">
        <f>IF(OR(T$38&lt;1000,T$38&gt;=75000),0,T$39*T$41)</f>
        <v>0</v>
      </c>
      <c r="U42" s="443"/>
      <c r="V42" s="441"/>
      <c r="W42" s="441"/>
      <c r="X42" s="436">
        <f>IF(OR(X$38&lt;1000,X$38&gt;=75000),0,X$39*X$41)</f>
        <v>0</v>
      </c>
      <c r="Y42" s="443"/>
      <c r="Z42" s="441"/>
      <c r="AA42" s="441"/>
      <c r="AB42" s="436">
        <f>IF(OR(AB$38&lt;1000,AB$38&gt;=75000),0,AB$39*AB$41)</f>
        <v>0</v>
      </c>
      <c r="AC42" s="443"/>
      <c r="AD42" s="441"/>
      <c r="AE42" s="441"/>
      <c r="AF42" s="441"/>
      <c r="AG42" s="443"/>
      <c r="AH42" s="441"/>
      <c r="AI42" s="441"/>
      <c r="AJ42" s="441"/>
      <c r="AK42" s="443"/>
      <c r="AL42" s="441"/>
      <c r="AM42" s="441"/>
      <c r="AN42" s="437">
        <f>IF(OR(AN$38&lt;1000,AN$38&gt;=75000),0,AN$39*AN$41)</f>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tr">
        <f>IF(OR(C$38&lt;1000,C$17&lt;=0),"",C$12/C$17)</f>
        <v/>
      </c>
      <c r="D45" s="436" t="str">
        <f>IF(OR(D$38&lt;1000,D$17&lt;=0),"",D$12/D$17)</f>
        <v/>
      </c>
      <c r="E45" s="436" t="str">
        <f>IF(OR(E$38&lt;1000,E$17&lt;=0),"",E$12/E$17)</f>
        <v/>
      </c>
      <c r="F45" s="436" t="str">
        <f>IF(OR(F$38&lt;1000,F$17&lt;=0),"",F$12/F$17)</f>
        <v/>
      </c>
      <c r="G45" s="447"/>
      <c r="H45" s="438" t="str">
        <f>IF(OR(H$38&lt;1000,H$17&lt;=0),"",H$12/H$17)</f>
        <v/>
      </c>
      <c r="I45" s="436" t="str">
        <f>IF(OR(I$38&lt;1000,I$17&lt;=0),"",I$12/I$17)</f>
        <v/>
      </c>
      <c r="J45" s="436" t="str">
        <f>IF(OR(J$38&lt;1000,J$17&lt;=0),"",J$12/J$17)</f>
        <v/>
      </c>
      <c r="K45" s="436" t="str">
        <f>IF(OR(K$38&lt;1000,K$17&lt;=0),"",K$12/K$17)</f>
        <v/>
      </c>
      <c r="L45" s="447"/>
      <c r="M45" s="438" t="str">
        <f>IF(OR(M$38&lt;1000,M$17&lt;=0),"",M$12/M$17)</f>
        <v/>
      </c>
      <c r="N45" s="436" t="str">
        <f>IF(OR(N$38&lt;1000,N$17&lt;=0),"",N$12/N$17)</f>
        <v/>
      </c>
      <c r="O45" s="436" t="str">
        <f>IF(OR(O$38&lt;1000,O$17&lt;=0),"",O$12/O$17)</f>
        <v/>
      </c>
      <c r="P45" s="436" t="str">
        <f>IF(OR(P$38&lt;1000,P$17&lt;=0),"",P$12/P$17)</f>
        <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tr">
        <f t="shared" ref="Q46:AB46" si="1">IF(OR(Q$38&lt;1000,Q$17&lt;=0),"",Q$13/Q$17)</f>
        <v/>
      </c>
      <c r="R46" s="436" t="str">
        <f t="shared" si="1"/>
        <v/>
      </c>
      <c r="S46" s="436" t="str">
        <f t="shared" si="1"/>
        <v/>
      </c>
      <c r="T46" s="436" t="str">
        <f t="shared" si="1"/>
        <v/>
      </c>
      <c r="U46" s="438" t="str">
        <f t="shared" si="1"/>
        <v/>
      </c>
      <c r="V46" s="436" t="str">
        <f t="shared" si="1"/>
        <v/>
      </c>
      <c r="W46" s="436" t="str">
        <f t="shared" si="1"/>
        <v/>
      </c>
      <c r="X46" s="436" t="str">
        <f t="shared" si="1"/>
        <v/>
      </c>
      <c r="Y46" s="438" t="str">
        <f t="shared" si="1"/>
        <v/>
      </c>
      <c r="Z46" s="436" t="str">
        <f t="shared" si="1"/>
        <v/>
      </c>
      <c r="AA46" s="436" t="str">
        <f t="shared" si="1"/>
        <v/>
      </c>
      <c r="AB46" s="436" t="str">
        <f t="shared" si="1"/>
        <v/>
      </c>
      <c r="AC46" s="443"/>
      <c r="AD46" s="441"/>
      <c r="AE46" s="441"/>
      <c r="AF46" s="441"/>
      <c r="AG46" s="443"/>
      <c r="AH46" s="441"/>
      <c r="AI46" s="441"/>
      <c r="AJ46" s="441"/>
      <c r="AK46" s="438" t="str">
        <f>IF(OR(AK$38&lt;1000,AK$17&lt;=0),"",AK$13/AK$17)</f>
        <v/>
      </c>
      <c r="AL46" s="436" t="str">
        <f>IF(OR(AL$38&lt;1000,AL$17&lt;=0),"",AL$13/AL$17)</f>
        <v/>
      </c>
      <c r="AM46" s="436" t="str">
        <f>IF(OR(AM$38&lt;1000,AM$17&lt;=0),"",AM$13/AM$17)</f>
        <v/>
      </c>
      <c r="AN46" s="437" t="str">
        <f>IF(OR(AN$38&lt;1000,AN$17&lt;=0),"",AN$13/AN$17)</f>
        <v/>
      </c>
    </row>
    <row r="47" spans="1:40" s="65" customFormat="1" x14ac:dyDescent="0.2">
      <c r="A47" s="107"/>
      <c r="B47" s="421" t="s">
        <v>328</v>
      </c>
      <c r="C47" s="443"/>
      <c r="D47" s="441"/>
      <c r="E47" s="441"/>
      <c r="F47" s="436" t="str">
        <f>IF(F$45="","",F$42)</f>
        <v/>
      </c>
      <c r="G47" s="447"/>
      <c r="H47" s="443"/>
      <c r="I47" s="441"/>
      <c r="J47" s="441"/>
      <c r="K47" s="436" t="str">
        <f>IF(K$45="","",K$42)</f>
        <v/>
      </c>
      <c r="L47" s="447"/>
      <c r="M47" s="443"/>
      <c r="N47" s="441"/>
      <c r="O47" s="441"/>
      <c r="P47" s="436" t="str">
        <f>IF(P$45="","",P$42)</f>
        <v/>
      </c>
      <c r="Q47" s="444"/>
      <c r="R47" s="442"/>
      <c r="S47" s="442"/>
      <c r="T47" s="436" t="str">
        <f>IF(T$46="","",T$42)</f>
        <v/>
      </c>
      <c r="U47" s="444"/>
      <c r="V47" s="442"/>
      <c r="W47" s="442"/>
      <c r="X47" s="436" t="str">
        <f>IF(X$46="","",X$42)</f>
        <v/>
      </c>
      <c r="Y47" s="444"/>
      <c r="Z47" s="442"/>
      <c r="AA47" s="442"/>
      <c r="AB47" s="436" t="str">
        <f>IF(AB$46="","",AB$42)</f>
        <v/>
      </c>
      <c r="AC47" s="443"/>
      <c r="AD47" s="441"/>
      <c r="AE47" s="441"/>
      <c r="AF47" s="441"/>
      <c r="AG47" s="443"/>
      <c r="AH47" s="441"/>
      <c r="AI47" s="441"/>
      <c r="AJ47" s="441"/>
      <c r="AK47" s="443"/>
      <c r="AL47" s="442"/>
      <c r="AM47" s="442"/>
      <c r="AN47" s="437" t="str">
        <f>IF(AN$46="","",AN$42)</f>
        <v/>
      </c>
    </row>
    <row r="48" spans="1:40" s="9" customFormat="1" x14ac:dyDescent="0.2">
      <c r="A48" s="108"/>
      <c r="B48" s="423" t="s">
        <v>327</v>
      </c>
      <c r="C48" s="443"/>
      <c r="D48" s="441"/>
      <c r="E48" s="441"/>
      <c r="F48" s="436" t="str">
        <f>IF(F$45="","",ROUND(F$45+MAX(0,F$47),3))</f>
        <v/>
      </c>
      <c r="G48" s="447"/>
      <c r="H48" s="443"/>
      <c r="I48" s="441"/>
      <c r="J48" s="441"/>
      <c r="K48" s="436" t="str">
        <f>IF(K$45="","",ROUND(K$45+MAX(0,K$47),3))</f>
        <v/>
      </c>
      <c r="L48" s="447"/>
      <c r="M48" s="443"/>
      <c r="N48" s="441"/>
      <c r="O48" s="441"/>
      <c r="P48" s="436" t="str">
        <f>IF(P$45="","",ROUND(P$45+MAX(0,P$47),3))</f>
        <v/>
      </c>
      <c r="Q48" s="443"/>
      <c r="R48" s="441"/>
      <c r="S48" s="441"/>
      <c r="T48" s="436" t="str">
        <f>IF(T$46="","",ROUND(T$46+MAX(0,T$47),3))</f>
        <v/>
      </c>
      <c r="U48" s="443"/>
      <c r="V48" s="441"/>
      <c r="W48" s="441"/>
      <c r="X48" s="436" t="str">
        <f>IF(X$46="","",ROUND(X$46+MAX(0,X$47),3))</f>
        <v/>
      </c>
      <c r="Y48" s="443"/>
      <c r="Z48" s="441"/>
      <c r="AA48" s="441"/>
      <c r="AB48" s="436" t="str">
        <f>IF(AB$46="","",ROUND(AB$46+MAX(0,AB$47),3))</f>
        <v/>
      </c>
      <c r="AC48" s="443"/>
      <c r="AD48" s="441"/>
      <c r="AE48" s="441"/>
      <c r="AF48" s="441"/>
      <c r="AG48" s="443"/>
      <c r="AH48" s="441"/>
      <c r="AI48" s="441"/>
      <c r="AJ48" s="441"/>
      <c r="AK48" s="443"/>
      <c r="AL48" s="441"/>
      <c r="AM48" s="441"/>
      <c r="AN48" s="437" t="str">
        <f>IF(AN$46="","",ROUND(AN$46+MAX(0,AN$47),3))</f>
        <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1.6</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tr">
        <f>F$48</f>
        <v/>
      </c>
      <c r="G51" s="447"/>
      <c r="H51" s="444"/>
      <c r="I51" s="442"/>
      <c r="J51" s="442"/>
      <c r="K51" s="436" t="str">
        <f>K$48</f>
        <v/>
      </c>
      <c r="L51" s="447"/>
      <c r="M51" s="444"/>
      <c r="N51" s="442"/>
      <c r="O51" s="442"/>
      <c r="P51" s="436" t="str">
        <f>P$48</f>
        <v/>
      </c>
      <c r="Q51" s="444"/>
      <c r="R51" s="442"/>
      <c r="S51" s="442"/>
      <c r="T51" s="436" t="str">
        <f>T$48</f>
        <v/>
      </c>
      <c r="U51" s="444"/>
      <c r="V51" s="442"/>
      <c r="W51" s="442"/>
      <c r="X51" s="436" t="str">
        <f>X$48</f>
        <v/>
      </c>
      <c r="Y51" s="444"/>
      <c r="Z51" s="442"/>
      <c r="AA51" s="442"/>
      <c r="AB51" s="436" t="str">
        <f>AB$48</f>
        <v/>
      </c>
      <c r="AC51" s="443"/>
      <c r="AD51" s="441"/>
      <c r="AE51" s="441"/>
      <c r="AF51" s="441"/>
      <c r="AG51" s="443"/>
      <c r="AH51" s="441"/>
      <c r="AI51" s="441"/>
      <c r="AJ51" s="441"/>
      <c r="AK51" s="443"/>
      <c r="AL51" s="442"/>
      <c r="AM51" s="442"/>
      <c r="AN51" s="437" t="str">
        <f>AN$48</f>
        <v/>
      </c>
    </row>
    <row r="52" spans="1:40" s="65" customFormat="1" ht="26.25" customHeight="1" x14ac:dyDescent="0.2">
      <c r="A52" s="107"/>
      <c r="B52" s="419" t="s">
        <v>332</v>
      </c>
      <c r="C52" s="443"/>
      <c r="D52" s="441"/>
      <c r="E52" s="441"/>
      <c r="F52" s="400" t="str">
        <f>IF(F$38&lt;1000,"",MAX(0,E$15-E$16))</f>
        <v/>
      </c>
      <c r="G52" s="447"/>
      <c r="H52" s="443"/>
      <c r="I52" s="441"/>
      <c r="J52" s="441"/>
      <c r="K52" s="400" t="str">
        <f>IF(K$38&lt;1000,"",MAX(0,J$15-J$16))</f>
        <v/>
      </c>
      <c r="L52" s="447"/>
      <c r="M52" s="443"/>
      <c r="N52" s="441"/>
      <c r="O52" s="441"/>
      <c r="P52" s="400" t="str">
        <f>IF(P$38&lt;1000,"",MAX(0,O$15-O$16))</f>
        <v/>
      </c>
      <c r="Q52" s="443"/>
      <c r="R52" s="441"/>
      <c r="S52" s="441"/>
      <c r="T52" s="400" t="str">
        <f>IF(T$38&lt;1000,"",MAX(0,S$15-S$16))</f>
        <v/>
      </c>
      <c r="U52" s="443"/>
      <c r="V52" s="441"/>
      <c r="W52" s="441"/>
      <c r="X52" s="400" t="str">
        <f>IF(X$38&lt;1000,"",MAX(0,W$15-W$16))</f>
        <v/>
      </c>
      <c r="Y52" s="443"/>
      <c r="Z52" s="441"/>
      <c r="AA52" s="441"/>
      <c r="AB52" s="400" t="str">
        <f>IF(AB$38&lt;1000,"",MAX(0,AA$15-AA$16))</f>
        <v/>
      </c>
      <c r="AC52" s="443"/>
      <c r="AD52" s="441"/>
      <c r="AE52" s="441"/>
      <c r="AF52" s="441"/>
      <c r="AG52" s="443"/>
      <c r="AH52" s="441"/>
      <c r="AI52" s="441"/>
      <c r="AJ52" s="441"/>
      <c r="AK52" s="443"/>
      <c r="AL52" s="441"/>
      <c r="AM52" s="441"/>
      <c r="AN52" s="430" t="str">
        <f>IF(AN$38&lt;1000,"",MAX(0,AM$15-AM$16))</f>
        <v/>
      </c>
    </row>
    <row r="53" spans="1:40" s="19" customFormat="1" ht="25.5" x14ac:dyDescent="0.2">
      <c r="A53" s="108"/>
      <c r="B53" s="416" t="s">
        <v>333</v>
      </c>
      <c r="C53" s="443"/>
      <c r="D53" s="441"/>
      <c r="E53" s="441"/>
      <c r="F53" s="400">
        <f>IF(OR(F$38&lt;1000,F$17&lt;=0),0,MAX(0,F$50-F$51)*F$52)</f>
        <v>0</v>
      </c>
      <c r="G53" s="447"/>
      <c r="H53" s="443"/>
      <c r="I53" s="441"/>
      <c r="J53" s="441"/>
      <c r="K53" s="400">
        <f>IF(OR(K$38&lt;1000,K$17&lt;=0),0,MAX(0,K$50-K$51)*K$52)</f>
        <v>0</v>
      </c>
      <c r="L53" s="447"/>
      <c r="M53" s="443"/>
      <c r="N53" s="441"/>
      <c r="O53" s="441"/>
      <c r="P53" s="400">
        <f>IF(OR(P$38&lt;1000,P$17&lt;=0),0,MAX(0,P$50-P$51)*P$52)</f>
        <v>0</v>
      </c>
      <c r="Q53" s="443"/>
      <c r="R53" s="441"/>
      <c r="S53" s="441"/>
      <c r="T53" s="400">
        <f>IF(OR(T$38&lt;1000,T$17&lt;=0),0,MAX(0,T$50-T$51)*T$52)</f>
        <v>0</v>
      </c>
      <c r="U53" s="443"/>
      <c r="V53" s="441"/>
      <c r="W53" s="441"/>
      <c r="X53" s="400">
        <f>IF(OR(X$38&lt;1000,X$17&lt;=0),0,MAX(0,X$50-X$51)*X$52)</f>
        <v>0</v>
      </c>
      <c r="Y53" s="443"/>
      <c r="Z53" s="441"/>
      <c r="AA53" s="441"/>
      <c r="AB53" s="400">
        <f>IF(OR(AB$38&lt;1000,AB$17&lt;=0),0,MAX(0,AB$50-AB$51)*AB$52)</f>
        <v>0</v>
      </c>
      <c r="AC53" s="443"/>
      <c r="AD53" s="441"/>
      <c r="AE53" s="441"/>
      <c r="AF53" s="441"/>
      <c r="AG53" s="443"/>
      <c r="AH53" s="441"/>
      <c r="AI53" s="441"/>
      <c r="AJ53" s="441"/>
      <c r="AK53" s="443"/>
      <c r="AL53" s="441"/>
      <c r="AM53" s="441"/>
      <c r="AN53" s="430">
        <f>IF(OR(AN$38&lt;1000,AN$17&lt;=0),0,MAX(0,AN$50-AN$51)*AN$52)</f>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v>149.38999999999999</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f>G60-G59</f>
        <v>0</v>
      </c>
      <c r="H58" s="452"/>
      <c r="I58" s="453"/>
      <c r="J58" s="453"/>
      <c r="K58" s="453"/>
      <c r="L58" s="400">
        <f>L60-L59</f>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Data'!$E$56+'Pt 1 Summary of Data'!$G$56-'Pt 1 Summary of Data'!$H$56</f>
        <v>0</v>
      </c>
      <c r="D4" s="104">
        <f>'Pt 1 Summary of Data'!$K$56+'Pt 1 Summary of Data'!$M$56-'Pt 1 Summary of Data'!$N$56</f>
        <v>0</v>
      </c>
      <c r="E4" s="104">
        <f>'Pt 1 Summary of Data'!$Q$56+'Pt 1 Summary of Data'!$S$56-'Pt 1 Summary of Data'!$T$56</f>
        <v>0</v>
      </c>
      <c r="F4" s="104">
        <f>'Pt 1 Summary of Data'!$V$56</f>
        <v>0</v>
      </c>
      <c r="G4" s="104">
        <f>'Pt 1 Summary of Data'!$Y$56</f>
        <v>0</v>
      </c>
      <c r="H4" s="104">
        <f>'Pt 1 Summary of Data'!$AB$56</f>
        <v>0</v>
      </c>
      <c r="I4" s="185"/>
      <c r="J4" s="185"/>
      <c r="K4" s="191">
        <f>'Pt 1 Summary of Data'!$AO$56+'Pt 1 Summary of Data'!$AQ$56-'Pt 1 Summary of Data'!$AR$56</f>
        <v>0</v>
      </c>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f>'Pt 3 MLR and Rebate Calculation'!$F$53</f>
        <v>0</v>
      </c>
      <c r="D11" s="97">
        <f>'Pt 3 MLR and Rebate Calculation'!$K$53</f>
        <v>0</v>
      </c>
      <c r="E11" s="97">
        <f>'Pt 3 MLR and Rebate Calculation'!$P$53</f>
        <v>0</v>
      </c>
      <c r="F11" s="97">
        <f>'Pt 3 MLR and Rebate Calculation'!$T$53</f>
        <v>0</v>
      </c>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507</v>
      </c>
      <c r="E27" s="7"/>
    </row>
    <row r="28" spans="2:5" ht="35.25" customHeight="1" x14ac:dyDescent="0.2">
      <c r="B28" s="134"/>
      <c r="C28" s="113"/>
      <c r="D28" s="137" t="s">
        <v>508</v>
      </c>
      <c r="E28" s="7"/>
    </row>
    <row r="29" spans="2:5" ht="35.25" customHeight="1" x14ac:dyDescent="0.2">
      <c r="B29" s="134"/>
      <c r="C29" s="113"/>
      <c r="D29" s="137" t="s">
        <v>509</v>
      </c>
      <c r="E29" s="7"/>
    </row>
    <row r="30" spans="2:5" ht="35.25" customHeight="1" x14ac:dyDescent="0.2">
      <c r="B30" s="134"/>
      <c r="C30" s="113"/>
      <c r="D30" s="137" t="s">
        <v>510</v>
      </c>
      <c r="E30" s="7"/>
    </row>
    <row r="31" spans="2:5" ht="35.25" customHeight="1" x14ac:dyDescent="0.2">
      <c r="B31" s="134"/>
      <c r="C31" s="113"/>
      <c r="D31" s="137" t="s">
        <v>511</v>
      </c>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512</v>
      </c>
      <c r="E34" s="7"/>
    </row>
    <row r="35" spans="2:5" ht="35.25" customHeight="1" x14ac:dyDescent="0.2">
      <c r="B35" s="134"/>
      <c r="C35" s="113"/>
      <c r="D35" s="137" t="s">
        <v>513</v>
      </c>
      <c r="E35" s="7"/>
    </row>
    <row r="36" spans="2:5" ht="35.25" customHeight="1" x14ac:dyDescent="0.2">
      <c r="B36" s="134"/>
      <c r="C36" s="113"/>
      <c r="D36" s="137" t="s">
        <v>514</v>
      </c>
      <c r="E36" s="7"/>
    </row>
    <row r="37" spans="2:5" ht="35.25" customHeight="1" x14ac:dyDescent="0.2">
      <c r="B37" s="134"/>
      <c r="C37" s="113"/>
      <c r="D37" s="137" t="s">
        <v>515</v>
      </c>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516</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517</v>
      </c>
      <c r="E48" s="7"/>
    </row>
    <row r="49" spans="2:5" ht="35.25" customHeight="1" x14ac:dyDescent="0.2">
      <c r="B49" s="134"/>
      <c r="C49" s="113"/>
      <c r="D49" s="137" t="s">
        <v>518</v>
      </c>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519</v>
      </c>
      <c r="E56" s="7"/>
    </row>
    <row r="57" spans="2:5" ht="35.25" customHeight="1" x14ac:dyDescent="0.2">
      <c r="B57" s="134"/>
      <c r="C57" s="115"/>
      <c r="D57" s="137" t="s">
        <v>520</v>
      </c>
      <c r="E57" s="7"/>
    </row>
    <row r="58" spans="2:5" ht="35.25" customHeight="1" x14ac:dyDescent="0.2">
      <c r="B58" s="134"/>
      <c r="C58" s="115"/>
      <c r="D58" s="137" t="s">
        <v>521</v>
      </c>
      <c r="E58" s="7"/>
    </row>
    <row r="59" spans="2:5" ht="35.25" customHeight="1" x14ac:dyDescent="0.2">
      <c r="B59" s="134"/>
      <c r="C59" s="115"/>
      <c r="D59" s="137" t="s">
        <v>522</v>
      </c>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519</v>
      </c>
      <c r="E67" s="7"/>
    </row>
    <row r="68" spans="2:5" ht="35.25" customHeight="1" x14ac:dyDescent="0.2">
      <c r="B68" s="134"/>
      <c r="C68" s="115"/>
      <c r="D68" s="137" t="s">
        <v>520</v>
      </c>
      <c r="E68" s="7"/>
    </row>
    <row r="69" spans="2:5" ht="35.25" customHeight="1" x14ac:dyDescent="0.2">
      <c r="B69" s="134"/>
      <c r="C69" s="115"/>
      <c r="D69" s="137" t="s">
        <v>521</v>
      </c>
      <c r="E69" s="7"/>
    </row>
    <row r="70" spans="2:5" ht="35.25" customHeight="1" x14ac:dyDescent="0.2">
      <c r="B70" s="134"/>
      <c r="C70" s="115"/>
      <c r="D70" s="137" t="s">
        <v>522</v>
      </c>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519</v>
      </c>
      <c r="E78" s="7"/>
    </row>
    <row r="79" spans="2:5" ht="35.25" customHeight="1" x14ac:dyDescent="0.2">
      <c r="B79" s="134"/>
      <c r="C79" s="115"/>
      <c r="D79" s="137" t="s">
        <v>520</v>
      </c>
      <c r="E79" s="7"/>
    </row>
    <row r="80" spans="2:5" ht="35.25" customHeight="1" x14ac:dyDescent="0.2">
      <c r="B80" s="134"/>
      <c r="C80" s="115"/>
      <c r="D80" s="137" t="s">
        <v>521</v>
      </c>
      <c r="E80" s="7"/>
    </row>
    <row r="81" spans="2:5" ht="35.25" customHeight="1" x14ac:dyDescent="0.2">
      <c r="B81" s="134"/>
      <c r="C81" s="115"/>
      <c r="D81" s="137" t="s">
        <v>522</v>
      </c>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519</v>
      </c>
      <c r="E89" s="7"/>
    </row>
    <row r="90" spans="2:5" ht="35.25" customHeight="1" x14ac:dyDescent="0.2">
      <c r="B90" s="134"/>
      <c r="C90" s="115"/>
      <c r="D90" s="137" t="s">
        <v>520</v>
      </c>
      <c r="E90" s="7"/>
    </row>
    <row r="91" spans="2:5" ht="35.25" customHeight="1" x14ac:dyDescent="0.2">
      <c r="B91" s="134"/>
      <c r="C91" s="115"/>
      <c r="D91" s="137" t="s">
        <v>521</v>
      </c>
      <c r="E91" s="7"/>
    </row>
    <row r="92" spans="2:5" ht="35.25" customHeight="1" x14ac:dyDescent="0.2">
      <c r="B92" s="134"/>
      <c r="C92" s="115"/>
      <c r="D92" s="137" t="s">
        <v>522</v>
      </c>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523</v>
      </c>
      <c r="E100" s="7"/>
    </row>
    <row r="101" spans="2:5" ht="35.25" customHeight="1" x14ac:dyDescent="0.2">
      <c r="B101" s="134"/>
      <c r="C101" s="115"/>
      <c r="D101" s="137" t="s">
        <v>524</v>
      </c>
      <c r="E101" s="7"/>
    </row>
    <row r="102" spans="2:5" ht="35.25" customHeight="1" x14ac:dyDescent="0.2">
      <c r="B102" s="134"/>
      <c r="C102" s="115"/>
      <c r="D102" s="137" t="s">
        <v>525</v>
      </c>
      <c r="E102" s="7"/>
    </row>
    <row r="103" spans="2:5" ht="35.25" customHeight="1" x14ac:dyDescent="0.2">
      <c r="B103" s="134"/>
      <c r="C103" s="115"/>
      <c r="D103" s="137" t="s">
        <v>526</v>
      </c>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519</v>
      </c>
      <c r="E111" s="27"/>
    </row>
    <row r="112" spans="2:5" s="5" customFormat="1" ht="35.25" customHeight="1" x14ac:dyDescent="0.2">
      <c r="B112" s="134"/>
      <c r="C112" s="115"/>
      <c r="D112" s="137" t="s">
        <v>520</v>
      </c>
      <c r="E112" s="27"/>
    </row>
    <row r="113" spans="2:5" s="5" customFormat="1" ht="35.25" customHeight="1" x14ac:dyDescent="0.2">
      <c r="B113" s="134"/>
      <c r="C113" s="115"/>
      <c r="D113" s="137" t="s">
        <v>521</v>
      </c>
      <c r="E113" s="27"/>
    </row>
    <row r="114" spans="2:5" s="5" customFormat="1" ht="35.25" customHeight="1" x14ac:dyDescent="0.2">
      <c r="B114" s="134"/>
      <c r="C114" s="115"/>
      <c r="D114" s="137" t="s">
        <v>522</v>
      </c>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519</v>
      </c>
      <c r="E123" s="7"/>
    </row>
    <row r="124" spans="2:5" s="5" customFormat="1" ht="35.25" customHeight="1" x14ac:dyDescent="0.2">
      <c r="B124" s="134"/>
      <c r="C124" s="113"/>
      <c r="D124" s="137" t="s">
        <v>520</v>
      </c>
      <c r="E124" s="27"/>
    </row>
    <row r="125" spans="2:5" s="5" customFormat="1" ht="35.25" customHeight="1" x14ac:dyDescent="0.2">
      <c r="B125" s="134"/>
      <c r="C125" s="113"/>
      <c r="D125" s="137" t="s">
        <v>521</v>
      </c>
      <c r="E125" s="27"/>
    </row>
    <row r="126" spans="2:5" s="5" customFormat="1" ht="35.25" customHeight="1" x14ac:dyDescent="0.2">
      <c r="B126" s="134"/>
      <c r="C126" s="113"/>
      <c r="D126" s="137" t="s">
        <v>522</v>
      </c>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519</v>
      </c>
      <c r="E134" s="27"/>
    </row>
    <row r="135" spans="2:5" s="5" customFormat="1" ht="35.25" customHeight="1" x14ac:dyDescent="0.2">
      <c r="B135" s="134"/>
      <c r="C135" s="113"/>
      <c r="D135" s="137" t="s">
        <v>520</v>
      </c>
      <c r="E135" s="27"/>
    </row>
    <row r="136" spans="2:5" s="5" customFormat="1" ht="35.25" customHeight="1" x14ac:dyDescent="0.2">
      <c r="B136" s="134"/>
      <c r="C136" s="113"/>
      <c r="D136" s="137" t="s">
        <v>521</v>
      </c>
      <c r="E136" s="27"/>
    </row>
    <row r="137" spans="2:5" s="5" customFormat="1" ht="35.25" customHeight="1" x14ac:dyDescent="0.2">
      <c r="B137" s="134"/>
      <c r="C137" s="113"/>
      <c r="D137" s="137" t="s">
        <v>522</v>
      </c>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520</v>
      </c>
      <c r="E145" s="27"/>
    </row>
    <row r="146" spans="2:5" s="5" customFormat="1" ht="35.25" customHeight="1" x14ac:dyDescent="0.2">
      <c r="B146" s="134"/>
      <c r="C146" s="113"/>
      <c r="D146" s="137" t="s">
        <v>521</v>
      </c>
      <c r="E146" s="27"/>
    </row>
    <row r="147" spans="2:5" s="5" customFormat="1" ht="35.25" customHeight="1" x14ac:dyDescent="0.2">
      <c r="B147" s="134"/>
      <c r="C147" s="113"/>
      <c r="D147" s="137" t="s">
        <v>522</v>
      </c>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527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520</v>
      </c>
      <c r="E167" s="27"/>
    </row>
    <row r="168" spans="2:5" s="5" customFormat="1" ht="35.25" customHeight="1" x14ac:dyDescent="0.2">
      <c r="B168" s="134"/>
      <c r="C168" s="113"/>
      <c r="D168" s="137" t="s">
        <v>521</v>
      </c>
      <c r="E168" s="27"/>
    </row>
    <row r="169" spans="2:5" s="5" customFormat="1" ht="35.25" customHeight="1" x14ac:dyDescent="0.2">
      <c r="B169" s="134"/>
      <c r="C169" s="113"/>
      <c r="D169" s="137" t="s">
        <v>522</v>
      </c>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520</v>
      </c>
      <c r="E178" s="27"/>
    </row>
    <row r="179" spans="2:5" s="5" customFormat="1" ht="35.25" customHeight="1" x14ac:dyDescent="0.2">
      <c r="B179" s="134"/>
      <c r="C179" s="113"/>
      <c r="D179" s="137" t="s">
        <v>521</v>
      </c>
      <c r="E179" s="27"/>
    </row>
    <row r="180" spans="2:5" s="5" customFormat="1" ht="35.25" customHeight="1" x14ac:dyDescent="0.2">
      <c r="B180" s="134"/>
      <c r="C180" s="113"/>
      <c r="D180" s="137" t="s">
        <v>522</v>
      </c>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516</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519</v>
      </c>
      <c r="E200" s="27"/>
    </row>
    <row r="201" spans="2:5" s="5" customFormat="1" ht="35.25" customHeight="1" x14ac:dyDescent="0.2">
      <c r="B201" s="134"/>
      <c r="C201" s="113"/>
      <c r="D201" s="137" t="s">
        <v>520</v>
      </c>
      <c r="E201" s="27"/>
    </row>
    <row r="202" spans="2:5" s="5" customFormat="1" ht="35.25" customHeight="1" x14ac:dyDescent="0.2">
      <c r="B202" s="134"/>
      <c r="C202" s="113"/>
      <c r="D202" s="137" t="s">
        <v>521</v>
      </c>
      <c r="E202" s="27"/>
    </row>
    <row r="203" spans="2:5" s="5" customFormat="1" ht="35.25" customHeight="1" x14ac:dyDescent="0.2">
      <c r="B203" s="134"/>
      <c r="C203" s="113"/>
      <c r="D203" s="137" t="s">
        <v>522</v>
      </c>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2016-07-28T11:46:10Z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