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V13" i="10" s="1"/>
  <c r="T15" i="10"/>
  <c r="S15" i="10"/>
  <c r="P15" i="10"/>
  <c r="O15" i="10"/>
  <c r="L15" i="10"/>
  <c r="AA13" i="10"/>
  <c r="Z13" i="10"/>
  <c r="Y13" i="10"/>
  <c r="W13" i="10"/>
  <c r="S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G6" i="10"/>
  <c r="F6" i="10"/>
  <c r="E6" i="10"/>
  <c r="AU55" i="18"/>
  <c r="AT55" i="18"/>
  <c r="AS55" i="18"/>
  <c r="AS22" i="4" s="1"/>
  <c r="AC55" i="18"/>
  <c r="AB55" i="18"/>
  <c r="AA55" i="18"/>
  <c r="Z55" i="18"/>
  <c r="Y55" i="18"/>
  <c r="Y22" i="4" s="1"/>
  <c r="X55" i="18"/>
  <c r="X22" i="4" s="1"/>
  <c r="W55" i="18"/>
  <c r="W22" i="4" s="1"/>
  <c r="V55" i="18"/>
  <c r="V22" i="4" s="1"/>
  <c r="U55" i="18"/>
  <c r="U22" i="4" s="1"/>
  <c r="T55" i="18"/>
  <c r="T22" i="4" s="1"/>
  <c r="S55" i="18"/>
  <c r="S22" i="4" s="1"/>
  <c r="R55" i="18"/>
  <c r="Q55" i="18"/>
  <c r="Q22" i="4" s="1"/>
  <c r="P55" i="18"/>
  <c r="P22" i="4" s="1"/>
  <c r="O55" i="18"/>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S54" i="18"/>
  <c r="AS12" i="4" s="1"/>
  <c r="AC54" i="18"/>
  <c r="AB54" i="18"/>
  <c r="AB12" i="4" s="1"/>
  <c r="AA54" i="18"/>
  <c r="AA12" i="4" s="1"/>
  <c r="Z54" i="18"/>
  <c r="Z12" i="4" s="1"/>
  <c r="Y54" i="18"/>
  <c r="Y12" i="4" s="1"/>
  <c r="X54" i="18"/>
  <c r="X12" i="4" s="1"/>
  <c r="W54" i="18"/>
  <c r="W12" i="4" s="1"/>
  <c r="V54" i="18"/>
  <c r="V12" i="4" s="1"/>
  <c r="U54" i="18"/>
  <c r="T54" i="18"/>
  <c r="T12" i="4" s="1"/>
  <c r="S54" i="18"/>
  <c r="R54" i="18"/>
  <c r="Q54" i="18"/>
  <c r="Q12" i="4" s="1"/>
  <c r="P54" i="18"/>
  <c r="P12" i="4" s="1"/>
  <c r="O54" i="18"/>
  <c r="O12" i="4" s="1"/>
  <c r="N54" i="18"/>
  <c r="N12" i="4" s="1"/>
  <c r="M54" i="18"/>
  <c r="M12" i="4" s="1"/>
  <c r="L54" i="18"/>
  <c r="L12" i="4" s="1"/>
  <c r="K54" i="18"/>
  <c r="K12" i="4" s="1"/>
  <c r="J6" i="10" s="1"/>
  <c r="K6" i="10"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R22" i="4"/>
  <c r="O22" i="4"/>
  <c r="AT12" i="4"/>
  <c r="AC12" i="4"/>
  <c r="U12" i="4"/>
  <c r="S12" i="4"/>
  <c r="R12" i="4"/>
  <c r="I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J15" i="10" l="1"/>
  <c r="J7" i="10"/>
  <c r="K7" i="10" s="1"/>
  <c r="J38" i="10" s="1"/>
  <c r="F15" i="10"/>
  <c r="K15" i="10"/>
  <c r="G15" i="10"/>
  <c r="G19" i="10" s="1"/>
  <c r="E7" i="10"/>
  <c r="P47" i="10"/>
  <c r="P39" i="10"/>
  <c r="L29" i="10"/>
  <c r="L33" i="10" s="1"/>
  <c r="L34" i="10" s="1"/>
  <c r="L21" i="10"/>
  <c r="L26" i="10" s="1"/>
  <c r="L25" i="10" s="1"/>
  <c r="L28" i="10" s="1"/>
  <c r="X13" i="10"/>
  <c r="T13" i="10"/>
  <c r="Q13" i="10"/>
  <c r="U13" i="10"/>
  <c r="G24" i="10" l="1"/>
  <c r="K17" i="10"/>
  <c r="G32" i="10"/>
  <c r="K38" i="10"/>
  <c r="F7" i="10"/>
  <c r="C17" i="10" s="1"/>
  <c r="D17" i="10"/>
  <c r="E12" i="10"/>
  <c r="C12" i="10"/>
  <c r="H12" i="10"/>
  <c r="J17" i="10"/>
  <c r="J45" i="10" s="1"/>
  <c r="I17" i="10"/>
  <c r="I45" i="10" s="1"/>
  <c r="I12" i="10"/>
  <c r="J12" i="10"/>
  <c r="H17" i="10"/>
  <c r="H45" i="10" s="1"/>
  <c r="E17" i="10"/>
  <c r="G27" i="10"/>
  <c r="G23" i="10"/>
  <c r="G20" i="10"/>
  <c r="G22" i="10" s="1"/>
  <c r="F17" i="10"/>
  <c r="E38" i="10" l="1"/>
  <c r="F38" i="10" s="1"/>
  <c r="D12" i="10"/>
  <c r="G21" i="10"/>
  <c r="G26" i="10" s="1"/>
  <c r="G25" i="10" s="1"/>
  <c r="G28" i="10" s="1"/>
  <c r="G30" i="10"/>
  <c r="G31" i="10" s="1"/>
  <c r="G29" i="10" s="1"/>
  <c r="G33" i="10" s="1"/>
  <c r="G34" i="10" s="1"/>
  <c r="E45" i="10"/>
  <c r="K12" i="10"/>
  <c r="C45" i="10"/>
  <c r="F12" i="10"/>
  <c r="D45" i="10"/>
  <c r="K42" i="10"/>
  <c r="K39" i="10"/>
  <c r="K53" i="10"/>
  <c r="D11" i="16" s="1"/>
  <c r="K45" i="10"/>
  <c r="K52" i="10"/>
  <c r="K47" i="10" l="1"/>
  <c r="K48" i="10"/>
  <c r="K51" i="10" s="1"/>
  <c r="F52" i="10"/>
  <c r="F39" i="10"/>
  <c r="F42" i="10" s="1"/>
  <c r="F45" i="10"/>
  <c r="F47" i="10" l="1"/>
  <c r="F48" i="10" s="1"/>
  <c r="F51" i="10" s="1"/>
  <c r="F53" i="10" s="1"/>
  <c r="C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<sst xmlns="http://schemas.openxmlformats.org/spreadsheetml/2006/main" count="568" uniqueCount="507">
  <si>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</si>
  <si>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</si>
  <si>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</si>
  <si>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</si>
  <si>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</si>
  <si>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</si>
  <si>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</si>
  <si>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</si>
  <si>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</si>
  <si>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</si>
  <si>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</si>
  <si>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</si>
  <si>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</si>
  <si>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</si>
  <si>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</si>
  <si>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</si>
  <si>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</si>
  <si>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</si>
  <si>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</si>
  <si>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</si>
  <si>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</si>
  <si>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</si>
  <si>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</si>
  <si>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</si>
  <si>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</si>
  <si>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</si>
  <si>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</si>
  <si>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</si>
  <si>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</si>
  <si>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</si>
  <si>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</si>
  <si>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</si>
  <si>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</si>
  <si>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</si>
  <si>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</si>
  <si>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</si>
  <si>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</si>
  <si>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</si>
  <si>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</si>
  <si>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</si>
  <si>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</si>
  <si>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</si>
  <si>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</si>
  <si>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</si>
  <si>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</si>
  <si>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</si>
  <si>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</si>
  <si>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</si>
  <si>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</si>
  <si>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</si>
  <si>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</si>
  <si>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</si>
  <si>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</si>
  <si>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</si>
  <si>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</si>
  <si>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</si>
  <si>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</si>
  <si>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</si>
  <si>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</si>
  <si>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</si>
  <si>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</si>
  <si>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</si>
  <si>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</si>
  <si>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</si>
  <si>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</si>
  <si>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</si>
  <si>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</si>
  <si>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</si>
  <si>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</si>
  <si>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</si>
  <si>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</si>
  <si>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</si>
  <si>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</si>
  <si>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</si>
  <si>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</si>
  <si>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</si>
  <si>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</si>
  <si>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</si>
  <si>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</si>
  <si>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</si>
  <si>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</si>
  <si>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</si>
  <si>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</si>
  <si>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</si>
  <si>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</si>
  <si>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</si>
  <si>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</si>
  <si>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</si>
  <si>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</si>
  <si>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</si>
  <si>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</si>
  <si>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</si>
  <si>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</si>
  <si>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</si>
  <si>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</si>
  <si>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</si>
  <si>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</si>
  <si>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</si>
  <si>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</si>
  <si>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</si>
  <si>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</si>
  <si>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</si>
  <si>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</si>
  <si>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</si>
  <si>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</si>
  <si>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</si>
  <si>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</si>
  <si>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</si>
  <si>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</si>
  <si>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</si>
  <si>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</si>
  <si>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</si>
  <si>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</si>
  <si>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</si>
  <si>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</si>
  <si>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</si>
  <si>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</si>
  <si>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</si>
  <si>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</si>
  <si>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</si>
  <si>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</si>
  <si>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</si>
  <si>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</si>
  <si>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</si>
  <si>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</si>
  <si>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</si>
  <si>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</si>
  <si>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</si>
  <si>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</si>
  <si>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</si>
  <si>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</si>
  <si>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</si>
  <si>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</si>
  <si>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</si>
  <si>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</si>
  <si>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</si>
  <si>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</si>
  <si>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</si>
  <si>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</si>
  <si>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</si>
  <si>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</si>
  <si>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</si>
  <si>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</si>
  <si>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</si>
  <si>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</si>
  <si>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</si>
  <si>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</si>
  <si>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</si>
  <si>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</si>
  <si>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</si>
  <si>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</si>
  <si>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</si>
  <si>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</si>
  <si>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</si>
  <si>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</si>
  <si>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</si>
  <si>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</si>
  <si>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</si>
  <si>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</si>
  <si>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</si>
  <si>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</si>
  <si>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</si>
  <si>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</si>
  <si>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</si>
  <si>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</si>
  <si>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</si>
  <si>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</si>
  <si>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</si>
  <si>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</si>
  <si>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</si>
  <si>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</si>
  <si>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</si>
  <si>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</si>
  <si>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</si>
  <si>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</si>
  <si>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</si>
  <si>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</si>
  <si>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</si>
  <si>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</si>
  <si>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</si>
  <si>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</si>
  <si>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</si>
  <si>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</si>
  <si>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</si>
  <si>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</si>
  <si>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</si>
  <si>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</si>
  <si>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</si>
  <si>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</si>
  <si>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</si>
  <si>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</si>
  <si>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</si>
  <si>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</si>
  <si>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</si>
  <si>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</si>
  <si>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</si>
  <si>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</si>
  <si>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</si>
  <si>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</si>
  <si>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</si>
  <si>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</si>
  <si>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</si>
  <si>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</si>
  <si>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</si>
  <si>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</si>
  <si>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</si>
  <si>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</si>
  <si>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</si>
  <si>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</si>
  <si>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</si>
  <si>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</si>
  <si>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</si>
  <si>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</si>
  <si>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</si>
  <si>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</si>
  <si>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</si>
  <si>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</si>
  <si>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</si>
  <si>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</si>
  <si>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</si>
  <si>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</si>
  <si>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</si>
  <si>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</si>
  <si>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</si>
  <si>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</si>
  <si>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</si>
  <si>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</si>
  <si>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</si>
  <si>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</si>
  <si>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</si>
  <si>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</si>
  <si>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</si>
  <si>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</si>
  <si>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</si>
  <si>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</si>
  <si>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</si>
  <si>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</si>
  <si>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</si>
  <si>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</si>
  <si>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</si>
  <si>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</si>
  <si>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</si>
  <si>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</si>
  <si>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</si>
  <si>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</si>
  <si>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</si>
  <si>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</si>
  <si>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</si>
  <si>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</si>
  <si>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</si>
  <si>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</si>
  <si>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</si>
  <si>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</si>
  <si>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</si>
  <si>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</si>
  <si>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</si>
  <si>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</si>
  <si>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</si>
  <si>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</si>
  <si>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</si>
  <si>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</si>
  <si>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</si>
  <si>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</si>
  <si>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</si>
  <si>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</si>
  <si>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</si>
  <si>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</si>
  <si>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</si>
  <si>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</si>
  <si>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</si>
  <si>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</si>
  <si>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</si>
  <si>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</si>
  <si>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</si>
  <si>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</si>
  <si>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</si>
  <si>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</si>
  <si>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</si>
  <si>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</si>
  <si>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</si>
  <si>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</si>
  <si>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</si>
  <si>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</si>
  <si>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</si>
  <si>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</si>
  <si>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</si>
  <si>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</si>
  <si>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</si>
  <si>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</si>
  <si>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</si>
  <si>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</si>
  <si>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</si>
  <si>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</si>
  <si>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</si>
  <si>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</si>
  <si>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</si>
  <si>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</si>
  <si>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</si>
  <si>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</si>
  <si>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</si>
  <si>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</si>
  <si>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</si>
  <si>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</si>
  <si>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</si>
  <si>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</si>
  <si>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</si>
  <si>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</si>
  <si>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</si>
  <si>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</si>
  <si>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</si>
  <si>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</si>
  <si>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</si>
  <si>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</si>
  <si>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</si>
  <si>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</si>
  <si>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</si>
  <si>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</si>
  <si>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</si>
  <si>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</si>
  <si>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</si>
  <si>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</si>
  <si>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</si>
  <si>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</si>
  <si>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</si>
  <si>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</si>
  <si>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</si>
  <si>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</si>
  <si>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</si>
  <si>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</si>
  <si>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</si>
  <si>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</si>
  <si>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</si>
  <si>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</si>
  <si>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</si>
  <si>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</si>
  <si>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</si>
  <si>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</si>
  <si>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</si>
  <si>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</si>
  <si>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</si>
  <si>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</si>
  <si>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</si>
  <si>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</si>
  <si>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</si>
  <si>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</si>
  <si>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</si>
  <si>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</si>
  <si>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</si>
  <si>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</si>
  <si>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</si>
  <si>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</si>
  <si>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</si>
  <si>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</si>
  <si>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</si>
  <si>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</si>
  <si>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</si>
  <si>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</si>
  <si>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</si>
  <si>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</si>
  <si>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</si>
  <si>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</si>
  <si>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</si>
  <si>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</si>
  <si>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</si>
  <si>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</si>
  <si>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</si>
  <si>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</si>
  <si>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</si>
  <si>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</si>
  <si>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</si>
  <si>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</si>
  <si>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</si>
  <si>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</si>
  <si>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</si>
  <si>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</si>
  <si>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</si>
  <si>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</si>
  <si>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</si>
  <si>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</si>
  <si>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</si>
  <si>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</si>
  <si>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</si>
  <si>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</si>
  <si>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</si>
  <si>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</si>
  <si>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</si>
  <si>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</si>
  <si>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</si>
  <si>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</si>
  <si>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</si>
  <si>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</si>
  <si>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</si>
  <si>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</si>
  <si>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</si>
  <si>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</si>
  <si>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</si>
  <si>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</si>
  <si>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</si>
  <si>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</si>
  <si>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</si>
  <si>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</si>
  <si>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</si>
  <si>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</si>
  <si>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</si>
  <si>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</si>
  <si>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</si>
  <si>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</si>
  <si>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</si>
  <si>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</si>
  <si>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</si>
  <si>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</si>
  <si>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</si>
  <si>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</si>
  <si>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</si>
  <si>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</si>
  <si>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</si>
  <si>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</si>
  <si>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</si>
  <si>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</si>
  <si>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</si>
  <si>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</si>
  <si>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</si>
  <si>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</si>
  <si>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</si>
  <si>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</si>
  <si>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</si>
  <si>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</si>
  <si>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</si>
  <si>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</si>
  <si>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</si>
  <si>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</si>
  <si>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</si>
  <si>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</si>
  <si>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</si>
  <si>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</si>
  <si>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</si>
  <si>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</si>
  <si>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</si>
  <si>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</si>
  <si>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</si>
  <si>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</si>
  <si>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</si>
  <si>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</si>
  <si>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</si>
  <si>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</si>
  <si>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</si>
  <si>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</si>
  <si>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</si>
  <si>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</si>
  <si>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</si>
  <si>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</si>
  <si>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</si>
  <si>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</si>
  <si>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</si>
  <si>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</si>
  <si>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</si>
  <si>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</si>
  <si>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</si>
  <si>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</si>
  <si>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</si>
  <si>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</si>
  <si>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</si>
  <si>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</si>
  <si>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</si>
  <si>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</si>
  <si>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</si>
  <si>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</si>
  <si>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</si>
  <si>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</si>
  <si>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</si>
  <si>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</si>
  <si>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</si>
  <si>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</si>
  <si>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</si>
  <si>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</si>
  <si>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</si>
  <si>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</si>
  <si>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</si>
  <si>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</si>
  <si>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</si>
  <si>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</si>
  <si>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</si>
  <si>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</si>
  <si>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</si>
  <si>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</si>
  <si>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</si>
  <si>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</si>
  <si>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</si>
  <si>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</si>
  <si>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</si>
  <si>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</si>
  <si>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</si>
  <si>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</si>
  <si>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</si>
  <si>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</si>
  <si>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</si>
  <si>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</si>
  <si>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</si>
  <si>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</si>
  <si>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</si>
  <si>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</si>
  <si>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</si>
  <si>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</si>
  <si>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</si>
  <si>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</si>
  <si>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44580</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</si>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</sst>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5" sqref="K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22130467</v>
      </c>
      <c r="E5" s="213">
        <f>SUM('Pt 2 Premium and Claims'!E$5,'Pt 2 Premium and Claims'!E$6,-'Pt 2 Premium and Claims'!E$7,-'Pt 2 Premium and Claims'!E$13,'Pt 2 Premium and Claims'!E$14:'Pt 2 Premium and Claims'!E$17)</f>
        <v>26985244.460000001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25617503</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11375157</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-57</v>
      </c>
      <c r="E7" s="217">
        <v>-56.53</v>
      </c>
      <c r="F7" s="217"/>
      <c r="G7" s="217"/>
      <c r="H7" s="217"/>
      <c r="I7" s="216">
        <v>0</v>
      </c>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-248997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-925953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20261664</v>
      </c>
      <c r="E12" s="213">
        <f>'Pt 2 Premium and Claims'!E$54</f>
        <v>29268855.5255</v>
      </c>
      <c r="F12" s="213">
        <f>'Pt 2 Premium and Claims'!F$54</f>
        <v>0</v>
      </c>
      <c r="G12" s="213">
        <f>'Pt 2 Premium and Claims'!G$54</f>
        <v>0</v>
      </c>
      <c r="H12" s="213">
        <f>'Pt 2 Premium and Claims'!H$54</f>
        <v>0</v>
      </c>
      <c r="I12" s="212">
        <f>'Pt 2 Premium and Claims'!I$54</f>
        <v>29617074</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7306051</v>
      </c>
      <c r="AU12" s="214">
        <f>'Pt 2 Premium and Claims'!AU$54</f>
        <v>0</v>
      </c>
      <c r="AV12" s="291"/>
      <c r="AW12" s="296"/>
    </row>
    <row r="13" spans="1:49" ht="25.5" x14ac:dyDescent="0.2">
      <c r="B13" s="239" t="s">
        <v>230</v>
      </c>
      <c r="C13" s="203" t="s">
        <v>37</v>
      </c>
      <c r="D13" s="216">
        <v>2890100</v>
      </c>
      <c r="E13" s="217">
        <v>3254521.06</v>
      </c>
      <c r="F13" s="217"/>
      <c r="G13" s="268"/>
      <c r="H13" s="269"/>
      <c r="I13" s="216">
        <v>3134372</v>
      </c>
      <c r="J13" s="216">
        <v>0</v>
      </c>
      <c r="K13" s="217">
        <v>0</v>
      </c>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38819</v>
      </c>
      <c r="AU13" s="220">
        <v>0</v>
      </c>
      <c r="AV13" s="290"/>
      <c r="AW13" s="297"/>
    </row>
    <row r="14" spans="1:49" ht="25.5" x14ac:dyDescent="0.2">
      <c r="B14" s="239" t="s">
        <v>231</v>
      </c>
      <c r="C14" s="203" t="s">
        <v>6</v>
      </c>
      <c r="D14" s="216">
        <v>400559</v>
      </c>
      <c r="E14" s="217">
        <v>385232.58</v>
      </c>
      <c r="F14" s="217"/>
      <c r="G14" s="267"/>
      <c r="H14" s="270"/>
      <c r="I14" s="216">
        <v>368242</v>
      </c>
      <c r="J14" s="216">
        <v>0</v>
      </c>
      <c r="K14" s="217">
        <v>0</v>
      </c>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-5</v>
      </c>
      <c r="AU14" s="220">
        <v>0</v>
      </c>
      <c r="AV14" s="290"/>
      <c r="AW14" s="297"/>
    </row>
    <row r="15" spans="1:49" ht="38.25" x14ac:dyDescent="0.2">
      <c r="B15" s="239" t="s">
        <v>232</v>
      </c>
      <c r="C15" s="203" t="s">
        <v>7</v>
      </c>
      <c r="D15" s="216">
        <v>99</v>
      </c>
      <c r="E15" s="217">
        <v>99.06</v>
      </c>
      <c r="F15" s="217"/>
      <c r="G15" s="267"/>
      <c r="H15" s="273"/>
      <c r="I15" s="216">
        <v>94</v>
      </c>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41</v>
      </c>
      <c r="AU15" s="220">
        <v>0</v>
      </c>
      <c r="AV15" s="290"/>
      <c r="AW15" s="297"/>
    </row>
    <row r="16" spans="1:49" ht="25.5" x14ac:dyDescent="0.2">
      <c r="B16" s="239" t="s">
        <v>233</v>
      </c>
      <c r="C16" s="203" t="s">
        <v>61</v>
      </c>
      <c r="D16" s="216">
        <v>-3928852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-1045872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30425</v>
      </c>
      <c r="E22" s="222">
        <f>'Pt 2 Premium and Claims'!E$55</f>
        <v>30425.25</v>
      </c>
      <c r="F22" s="222">
        <f>'Pt 2 Premium and Claims'!F$55</f>
        <v>0</v>
      </c>
      <c r="G22" s="222">
        <f>'Pt 2 Premium and Claims'!G$55</f>
        <v>0</v>
      </c>
      <c r="H22" s="222">
        <f>'Pt 2 Premium and Claims'!H$55</f>
        <v>0</v>
      </c>
      <c r="I22" s="221">
        <f>'Pt 2 Premium and Claims'!I$55</f>
        <v>24017</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-246355.38</v>
      </c>
      <c r="E25" s="217">
        <v>-246355.68686331139</v>
      </c>
      <c r="F25" s="217"/>
      <c r="G25" s="217"/>
      <c r="H25" s="217"/>
      <c r="I25" s="216">
        <v>-1481800</v>
      </c>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236119.15</v>
      </c>
      <c r="AU25" s="220"/>
      <c r="AV25" s="220"/>
      <c r="AW25" s="297"/>
    </row>
    <row r="26" spans="1:49" s="5" customFormat="1" x14ac:dyDescent="0.2">
      <c r="A26" s="35"/>
      <c r="B26" s="242" t="s">
        <v>242</v>
      </c>
      <c r="C26" s="203"/>
      <c r="D26" s="216">
        <v>16419.41</v>
      </c>
      <c r="E26" s="217">
        <v>16419.41</v>
      </c>
      <c r="F26" s="217"/>
      <c r="G26" s="217"/>
      <c r="H26" s="217"/>
      <c r="I26" s="216">
        <v>13500</v>
      </c>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459995.78</v>
      </c>
      <c r="E27" s="217">
        <v>459995.78</v>
      </c>
      <c r="F27" s="217"/>
      <c r="G27" s="217"/>
      <c r="H27" s="217"/>
      <c r="I27" s="216">
        <v>436873</v>
      </c>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86277.64</v>
      </c>
      <c r="AU27" s="220"/>
      <c r="AV27" s="293"/>
      <c r="AW27" s="297"/>
    </row>
    <row r="28" spans="1:49" s="5" customFormat="1" x14ac:dyDescent="0.2">
      <c r="A28" s="35"/>
      <c r="B28" s="242" t="s">
        <v>244</v>
      </c>
      <c r="C28" s="203"/>
      <c r="D28" s="216">
        <v>65419.75</v>
      </c>
      <c r="E28" s="217">
        <v>65419.75</v>
      </c>
      <c r="F28" s="217"/>
      <c r="G28" s="217"/>
      <c r="H28" s="217"/>
      <c r="I28" s="216">
        <v>60008</v>
      </c>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55377.84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-11229.03</v>
      </c>
      <c r="E30" s="217">
        <v>-11229.054012773986</v>
      </c>
      <c r="F30" s="217"/>
      <c r="G30" s="217"/>
      <c r="H30" s="217"/>
      <c r="I30" s="216">
        <v>-108333</v>
      </c>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25032.37</v>
      </c>
      <c r="AU30" s="220"/>
      <c r="AV30" s="220"/>
      <c r="AW30" s="297"/>
    </row>
    <row r="31" spans="1:49" x14ac:dyDescent="0.2">
      <c r="B31" s="242" t="s">
        <v>247</v>
      </c>
      <c r="C31" s="203"/>
      <c r="D31" s="216">
        <v>482273.74</v>
      </c>
      <c r="E31" s="217">
        <v>482273.74</v>
      </c>
      <c r="F31" s="217"/>
      <c r="G31" s="217"/>
      <c r="H31" s="217"/>
      <c r="I31" s="216">
        <v>457225</v>
      </c>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208246.1</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88879.34</v>
      </c>
      <c r="E34" s="217">
        <v>290031.3</v>
      </c>
      <c r="F34" s="217"/>
      <c r="G34" s="217"/>
      <c r="H34" s="217"/>
      <c r="I34" s="216">
        <v>268446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820912.57</v>
      </c>
      <c r="E35" s="217">
        <v>820912.57</v>
      </c>
      <c r="F35" s="217"/>
      <c r="G35" s="217"/>
      <c r="H35" s="217"/>
      <c r="I35" s="216">
        <v>819266</v>
      </c>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33337.24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98293</v>
      </c>
      <c r="E37" s="225">
        <v>98293.25</v>
      </c>
      <c r="F37" s="225"/>
      <c r="G37" s="225"/>
      <c r="H37" s="225"/>
      <c r="I37" s="224">
        <v>71381</v>
      </c>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665</v>
      </c>
      <c r="AU37" s="226">
        <v>0</v>
      </c>
      <c r="AV37" s="226">
        <v>86422</v>
      </c>
      <c r="AW37" s="296"/>
    </row>
    <row r="38" spans="1:49" x14ac:dyDescent="0.2">
      <c r="B38" s="239" t="s">
        <v>254</v>
      </c>
      <c r="C38" s="203" t="s">
        <v>16</v>
      </c>
      <c r="D38" s="216">
        <v>52254</v>
      </c>
      <c r="E38" s="217">
        <v>52253.71</v>
      </c>
      <c r="F38" s="217"/>
      <c r="G38" s="217"/>
      <c r="H38" s="217"/>
      <c r="I38" s="216">
        <v>21556</v>
      </c>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v>
      </c>
      <c r="AU38" s="220">
        <v>0</v>
      </c>
      <c r="AV38" s="220">
        <v>114683</v>
      </c>
      <c r="AW38" s="297"/>
    </row>
    <row r="39" spans="1:49" x14ac:dyDescent="0.2">
      <c r="B39" s="242" t="s">
        <v>255</v>
      </c>
      <c r="C39" s="203" t="s">
        <v>17</v>
      </c>
      <c r="D39" s="216">
        <v>42070</v>
      </c>
      <c r="E39" s="217">
        <v>42070.12</v>
      </c>
      <c r="F39" s="217"/>
      <c r="G39" s="217"/>
      <c r="H39" s="217"/>
      <c r="I39" s="216">
        <v>34084</v>
      </c>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1747</v>
      </c>
      <c r="AU39" s="220">
        <v>0</v>
      </c>
      <c r="AV39" s="220">
        <v>23690</v>
      </c>
      <c r="AW39" s="297"/>
    </row>
    <row r="40" spans="1:49" x14ac:dyDescent="0.2">
      <c r="B40" s="242" t="s">
        <v>256</v>
      </c>
      <c r="C40" s="203" t="s">
        <v>38</v>
      </c>
      <c r="D40" s="216">
        <v>32954</v>
      </c>
      <c r="E40" s="217">
        <v>32953.9</v>
      </c>
      <c r="F40" s="217"/>
      <c r="G40" s="217"/>
      <c r="H40" s="217"/>
      <c r="I40" s="216">
        <v>15049</v>
      </c>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142843</v>
      </c>
      <c r="AU40" s="220">
        <v>0</v>
      </c>
      <c r="AV40" s="220">
        <v>65726</v>
      </c>
      <c r="AW40" s="297"/>
    </row>
    <row r="41" spans="1:49" s="5" customFormat="1" ht="25.5" x14ac:dyDescent="0.2">
      <c r="A41" s="35"/>
      <c r="B41" s="242" t="s">
        <v>257</v>
      </c>
      <c r="C41" s="203" t="s">
        <v>129</v>
      </c>
      <c r="D41" s="216">
        <v>34520</v>
      </c>
      <c r="E41" s="217">
        <v>34519.75</v>
      </c>
      <c r="F41" s="217"/>
      <c r="G41" s="217"/>
      <c r="H41" s="217"/>
      <c r="I41" s="216">
        <v>30996</v>
      </c>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23488</v>
      </c>
      <c r="AU41" s="220">
        <v>0</v>
      </c>
      <c r="AV41" s="220">
        <v>96</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290768</v>
      </c>
      <c r="E44" s="225">
        <v>290767.7</v>
      </c>
      <c r="F44" s="225"/>
      <c r="G44" s="225"/>
      <c r="H44" s="225"/>
      <c r="I44" s="224">
        <v>271092</v>
      </c>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82486</v>
      </c>
      <c r="AU44" s="226">
        <v>0</v>
      </c>
      <c r="AV44" s="226">
        <v>20127</v>
      </c>
      <c r="AW44" s="296"/>
    </row>
    <row r="45" spans="1:49" x14ac:dyDescent="0.2">
      <c r="B45" s="245" t="s">
        <v>261</v>
      </c>
      <c r="C45" s="203" t="s">
        <v>19</v>
      </c>
      <c r="D45" s="216">
        <v>265148</v>
      </c>
      <c r="E45" s="217">
        <v>265148.45</v>
      </c>
      <c r="F45" s="217"/>
      <c r="G45" s="217"/>
      <c r="H45" s="217"/>
      <c r="I45" s="216">
        <v>254288</v>
      </c>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105776</v>
      </c>
      <c r="AU45" s="220">
        <v>0</v>
      </c>
      <c r="AV45" s="220">
        <v>0</v>
      </c>
      <c r="AW45" s="297"/>
    </row>
    <row r="46" spans="1:49" x14ac:dyDescent="0.2">
      <c r="B46" s="245" t="s">
        <v>262</v>
      </c>
      <c r="C46" s="203" t="s">
        <v>20</v>
      </c>
      <c r="D46" s="216">
        <v>145314</v>
      </c>
      <c r="E46" s="217">
        <v>145314.4</v>
      </c>
      <c r="F46" s="217"/>
      <c r="G46" s="217"/>
      <c r="H46" s="217"/>
      <c r="I46" s="216">
        <v>143489</v>
      </c>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120654</v>
      </c>
      <c r="AU46" s="220">
        <v>0</v>
      </c>
      <c r="AV46" s="220">
        <v>0</v>
      </c>
      <c r="AW46" s="297"/>
    </row>
    <row r="47" spans="1:49" x14ac:dyDescent="0.2">
      <c r="B47" s="245" t="s">
        <v>263</v>
      </c>
      <c r="C47" s="203" t="s">
        <v>21</v>
      </c>
      <c r="D47" s="216">
        <v>903392</v>
      </c>
      <c r="E47" s="217">
        <v>903391.92</v>
      </c>
      <c r="F47" s="217"/>
      <c r="G47" s="217"/>
      <c r="H47" s="217"/>
      <c r="I47" s="216">
        <v>841600</v>
      </c>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1706908</v>
      </c>
      <c r="AU47" s="220">
        <v>0</v>
      </c>
      <c r="AV47" s="220">
        <v>880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-7064.21</v>
      </c>
      <c r="E49" s="217">
        <v>-7064.21</v>
      </c>
      <c r="F49" s="217"/>
      <c r="G49" s="217"/>
      <c r="H49" s="217"/>
      <c r="I49" s="216">
        <v>-16423</v>
      </c>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7095.06</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1946863</v>
      </c>
      <c r="E51" s="217">
        <v>1946862.89</v>
      </c>
      <c r="F51" s="217"/>
      <c r="G51" s="217"/>
      <c r="H51" s="217"/>
      <c r="I51" s="216">
        <v>1809570</v>
      </c>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970317</v>
      </c>
      <c r="AU51" s="220">
        <v>0</v>
      </c>
      <c r="AV51" s="220">
        <v>74189</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4300</v>
      </c>
      <c r="E56" s="229">
        <v>4300</v>
      </c>
      <c r="F56" s="229"/>
      <c r="G56" s="229"/>
      <c r="H56" s="229"/>
      <c r="I56" s="228">
        <v>4055</v>
      </c>
      <c r="J56" s="228">
        <v>0</v>
      </c>
      <c r="K56" s="229">
        <v>0</v>
      </c>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21472</v>
      </c>
      <c r="AU56" s="230">
        <v>0</v>
      </c>
      <c r="AV56" s="230">
        <v>0</v>
      </c>
      <c r="AW56" s="288"/>
    </row>
    <row r="57" spans="2:49" x14ac:dyDescent="0.2">
      <c r="B57" s="245" t="s">
        <v>272</v>
      </c>
      <c r="C57" s="203" t="s">
        <v>25</v>
      </c>
      <c r="D57" s="231">
        <v>5613</v>
      </c>
      <c r="E57" s="232">
        <v>5613</v>
      </c>
      <c r="F57" s="232"/>
      <c r="G57" s="232"/>
      <c r="H57" s="232"/>
      <c r="I57" s="231">
        <v>5186</v>
      </c>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34276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171</v>
      </c>
      <c r="AU58" s="233">
        <v>0</v>
      </c>
      <c r="AV58" s="233">
        <v>0</v>
      </c>
      <c r="AW58" s="289"/>
    </row>
    <row r="59" spans="2:49" x14ac:dyDescent="0.2">
      <c r="B59" s="245" t="s">
        <v>274</v>
      </c>
      <c r="C59" s="203" t="s">
        <v>27</v>
      </c>
      <c r="D59" s="231">
        <v>79775</v>
      </c>
      <c r="E59" s="232">
        <v>80011</v>
      </c>
      <c r="F59" s="232"/>
      <c r="G59" s="232"/>
      <c r="H59" s="232"/>
      <c r="I59" s="231">
        <v>74432</v>
      </c>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408808</v>
      </c>
      <c r="AU59" s="233">
        <v>0</v>
      </c>
      <c r="AV59" s="233">
        <v>0</v>
      </c>
      <c r="AW59" s="289"/>
    </row>
    <row r="60" spans="2:49" x14ac:dyDescent="0.2">
      <c r="B60" s="245" t="s">
        <v>275</v>
      </c>
      <c r="C60" s="203"/>
      <c r="D60" s="234">
        <f t="shared" ref="D60:AC60" si="0">D$59/12</f>
        <v>6647.916666666667</v>
      </c>
      <c r="E60" s="235">
        <f t="shared" si="0"/>
        <v>6667.583333333333</v>
      </c>
      <c r="F60" s="235">
        <f t="shared" si="0"/>
        <v>0</v>
      </c>
      <c r="G60" s="235">
        <f t="shared" si="0"/>
        <v>0</v>
      </c>
      <c r="H60" s="235">
        <f t="shared" si="0"/>
        <v>0</v>
      </c>
      <c r="I60" s="234">
        <f t="shared" si="0"/>
        <v>6202.666666666667</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34067.333333333336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541" yWindow="45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9" sqref="K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22131063</v>
      </c>
      <c r="E5" s="326">
        <v>26352276.289999999</v>
      </c>
      <c r="F5" s="326"/>
      <c r="G5" s="328"/>
      <c r="H5" s="328"/>
      <c r="I5" s="325">
        <v>24984535</v>
      </c>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11373661</v>
      </c>
      <c r="AU5" s="327">
        <v>0</v>
      </c>
      <c r="AV5" s="369"/>
      <c r="AW5" s="373"/>
    </row>
    <row r="6" spans="2:49" x14ac:dyDescent="0.2">
      <c r="B6" s="343" t="s">
        <v>278</v>
      </c>
      <c r="C6" s="331" t="s">
        <v>8</v>
      </c>
      <c r="D6" s="318">
        <v>16067</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45305</v>
      </c>
      <c r="AU6" s="321">
        <v>0</v>
      </c>
      <c r="AV6" s="368"/>
      <c r="AW6" s="374"/>
    </row>
    <row r="7" spans="2:49" x14ac:dyDescent="0.2">
      <c r="B7" s="343" t="s">
        <v>279</v>
      </c>
      <c r="C7" s="331" t="s">
        <v>9</v>
      </c>
      <c r="D7" s="318">
        <v>16663</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43809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-102584</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-2790886</v>
      </c>
      <c r="E11" s="319"/>
      <c r="F11" s="319"/>
      <c r="G11" s="319"/>
      <c r="H11" s="319"/>
      <c r="I11" s="318">
        <v>0</v>
      </c>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4106399</v>
      </c>
      <c r="F15" s="319"/>
      <c r="G15" s="319"/>
      <c r="H15" s="319"/>
      <c r="I15" s="318">
        <v>4106399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-3473430.83</v>
      </c>
      <c r="F16" s="319"/>
      <c r="G16" s="319"/>
      <c r="H16" s="319"/>
      <c r="I16" s="318">
        <v>-3473431</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-920577</v>
      </c>
      <c r="AU19" s="321">
        <v>0</v>
      </c>
      <c r="AV19" s="368"/>
      <c r="AW19" s="374"/>
    </row>
    <row r="20" spans="2:49" s="5" customFormat="1" ht="25.5" x14ac:dyDescent="0.2">
      <c r="B20" s="345" t="s">
        <v>430</v>
      </c>
      <c r="C20" s="331"/>
      <c r="D20" s="318"/>
      <c r="E20" s="319">
        <v>17075300.789999999</v>
      </c>
      <c r="F20" s="319"/>
      <c r="G20" s="319"/>
      <c r="H20" s="319"/>
      <c r="I20" s="318">
        <v>17075301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24211537</v>
      </c>
      <c r="E23" s="362"/>
      <c r="F23" s="362"/>
      <c r="G23" s="362"/>
      <c r="H23" s="362"/>
      <c r="I23" s="364"/>
      <c r="J23" s="318">
        <v>-318</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7431503</v>
      </c>
      <c r="AU23" s="321">
        <v>0</v>
      </c>
      <c r="AV23" s="368"/>
      <c r="AW23" s="374"/>
    </row>
    <row r="24" spans="2:49" ht="28.5" customHeight="1" x14ac:dyDescent="0.2">
      <c r="B24" s="345" t="s">
        <v>114</v>
      </c>
      <c r="C24" s="331"/>
      <c r="D24" s="365"/>
      <c r="E24" s="319">
        <v>29497821.390000001</v>
      </c>
      <c r="F24" s="319"/>
      <c r="G24" s="319"/>
      <c r="H24" s="319"/>
      <c r="I24" s="318">
        <v>28817092</v>
      </c>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3779037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641576</v>
      </c>
      <c r="AU26" s="321">
        <v>0</v>
      </c>
      <c r="AV26" s="368"/>
      <c r="AW26" s="374"/>
    </row>
    <row r="27" spans="2:49" s="5" customFormat="1" ht="25.5" x14ac:dyDescent="0.2">
      <c r="B27" s="345" t="s">
        <v>85</v>
      </c>
      <c r="C27" s="331"/>
      <c r="D27" s="365"/>
      <c r="E27" s="319">
        <v>1183441.9354999999</v>
      </c>
      <c r="F27" s="319"/>
      <c r="G27" s="319"/>
      <c r="H27" s="319"/>
      <c r="I27" s="318">
        <v>1168224</v>
      </c>
      <c r="J27" s="365"/>
      <c r="K27" s="319">
        <v>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3712426</v>
      </c>
      <c r="E28" s="363"/>
      <c r="F28" s="363"/>
      <c r="G28" s="363"/>
      <c r="H28" s="363"/>
      <c r="I28" s="365"/>
      <c r="J28" s="318">
        <v>233</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761665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26857</v>
      </c>
      <c r="AU30" s="321">
        <v>0</v>
      </c>
      <c r="AV30" s="368"/>
      <c r="AW30" s="374"/>
    </row>
    <row r="31" spans="2:49" s="5" customFormat="1" ht="25.5" x14ac:dyDescent="0.2">
      <c r="B31" s="345" t="s">
        <v>84</v>
      </c>
      <c r="C31" s="331"/>
      <c r="D31" s="365"/>
      <c r="E31" s="319"/>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32425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167848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206</v>
      </c>
      <c r="AU34" s="321">
        <v>0</v>
      </c>
      <c r="AV34" s="368"/>
      <c r="AW34" s="374"/>
    </row>
    <row r="35" spans="2:49" s="5" customFormat="1" x14ac:dyDescent="0.2">
      <c r="B35" s="345" t="s">
        <v>91</v>
      </c>
      <c r="C35" s="331"/>
      <c r="D35" s="365"/>
      <c r="E35" s="319">
        <v>167848.08</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1195023</v>
      </c>
      <c r="E36" s="319">
        <v>1195023.3</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-102584</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-2790886</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119048</v>
      </c>
      <c r="E49" s="319">
        <v>385232.58</v>
      </c>
      <c r="F49" s="319"/>
      <c r="G49" s="319"/>
      <c r="H49" s="319"/>
      <c r="I49" s="318">
        <v>368242</v>
      </c>
      <c r="J49" s="318">
        <v>-286</v>
      </c>
      <c r="K49" s="319">
        <v>0</v>
      </c>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51</v>
      </c>
      <c r="AU49" s="321">
        <v>0</v>
      </c>
      <c r="AV49" s="368"/>
      <c r="AW49" s="374"/>
    </row>
    <row r="50" spans="2:49" x14ac:dyDescent="0.2">
      <c r="B50" s="343" t="s">
        <v>119</v>
      </c>
      <c r="C50" s="331" t="s">
        <v>34</v>
      </c>
      <c r="D50" s="318">
        <v>23209</v>
      </c>
      <c r="E50" s="363"/>
      <c r="F50" s="363"/>
      <c r="G50" s="363"/>
      <c r="H50" s="363"/>
      <c r="I50" s="365"/>
      <c r="J50" s="318">
        <v>265</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50</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20261664</v>
      </c>
      <c r="E54" s="323">
        <f>E24+E27+E31+E35-E36+E39+E42+E45+E46-E49+E51+E52+E53</f>
        <v>29268855.5255</v>
      </c>
      <c r="F54" s="323">
        <f>F24+F27+F31+F35-F36+F39+F42+F45+F46-F49+F51+F52+F53</f>
        <v>0</v>
      </c>
      <c r="G54" s="323">
        <f>G24+G27+G31+G35-G36+G39+G42+G45+G46-G49+G51+G52+G53</f>
        <v>0</v>
      </c>
      <c r="H54" s="323">
        <f>H24+H27+H31+H35-H36+H39+H42+H45+H46-H49+H51+H52+H53</f>
        <v>0</v>
      </c>
      <c r="I54" s="322">
        <f>I24+I27+I31+I35-I36+I39+I42+I45+I46-I49+I51+I52+I53</f>
        <v>29617074</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7306051</v>
      </c>
      <c r="AU54" s="324">
        <f>AU23+AU26-AU28+AU30-AU32+AU34-AU36+AU38+AU41-AU43+AU45+AU46-AU47-AU49+AU50+AU51+AU52+AU53</f>
        <v>0</v>
      </c>
      <c r="AV54" s="368"/>
      <c r="AW54" s="374"/>
    </row>
    <row r="55" spans="2:49" ht="25.5" x14ac:dyDescent="0.2">
      <c r="B55" s="348" t="s">
        <v>493</v>
      </c>
      <c r="C55" s="335" t="s">
        <v>28</v>
      </c>
      <c r="D55" s="322">
        <f t="shared" ref="D55:AC55" si="0">MIN(MAX(0,D56),MAX(0,D57))</f>
        <v>30425</v>
      </c>
      <c r="E55" s="323">
        <f t="shared" si="0"/>
        <v>30425.25</v>
      </c>
      <c r="F55" s="323">
        <f t="shared" si="0"/>
        <v>0</v>
      </c>
      <c r="G55" s="323">
        <f t="shared" si="0"/>
        <v>0</v>
      </c>
      <c r="H55" s="323">
        <f t="shared" si="0"/>
        <v>0</v>
      </c>
      <c r="I55" s="322">
        <f t="shared" si="0"/>
        <v>24017</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42098.05</v>
      </c>
      <c r="E56" s="319">
        <v>42098.05</v>
      </c>
      <c r="F56" s="319"/>
      <c r="G56" s="319"/>
      <c r="H56" s="319"/>
      <c r="I56" s="318">
        <v>39809</v>
      </c>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30425</v>
      </c>
      <c r="E57" s="319">
        <v>30425.25</v>
      </c>
      <c r="F57" s="319"/>
      <c r="G57" s="319"/>
      <c r="H57" s="319"/>
      <c r="I57" s="318">
        <v>24017</v>
      </c>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88</v>
      </c>
      <c r="AU57" s="321">
        <v>0</v>
      </c>
      <c r="AV57" s="321">
        <v>0</v>
      </c>
      <c r="AW57" s="374"/>
    </row>
    <row r="58" spans="2:49" s="5" customFormat="1" x14ac:dyDescent="0.2">
      <c r="B58" s="351" t="s">
        <v>494</v>
      </c>
      <c r="C58" s="352"/>
      <c r="D58" s="353"/>
      <c r="E58" s="354">
        <v>3961963.04</v>
      </c>
      <c r="F58" s="354"/>
      <c r="G58" s="354"/>
      <c r="H58" s="354"/>
      <c r="I58" s="353">
        <v>4129187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620" yWindow="53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3774877.54</v>
      </c>
      <c r="D5" s="403">
        <v>20507211.800000001</v>
      </c>
      <c r="E5" s="454"/>
      <c r="F5" s="454"/>
      <c r="G5" s="448"/>
      <c r="H5" s="402">
        <v>20129.34</v>
      </c>
      <c r="I5" s="403">
        <v>35358.51</v>
      </c>
      <c r="J5" s="454"/>
      <c r="K5" s="454"/>
      <c r="L5" s="448"/>
      <c r="M5" s="402"/>
      <c r="N5" s="403">
        <v>-28997.25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3754122.9870000002</v>
      </c>
      <c r="D6" s="398">
        <v>20426864.232500002</v>
      </c>
      <c r="E6" s="400">
        <f>SUM('Pt 1 Summary of Data'!E$12,'Pt 1 Summary of Data'!E$22)+SUM('Pt 1 Summary of Data'!G$12,'Pt 1 Summary of Data'!G$22)-SUM('Pt 1 Summary of Data'!H$12,'Pt 1 Summary of Data'!H$22)</f>
        <v>29299280.7755</v>
      </c>
      <c r="F6" s="400">
        <f t="shared" ref="F6:F11" si="0">SUM(C6:E6)</f>
        <v>53480267.995000005</v>
      </c>
      <c r="G6" s="401">
        <f>SUM('Pt 1 Summary of Data'!I$12,'Pt 1 Summary of Data'!I$22)</f>
        <v>29641091</v>
      </c>
      <c r="H6" s="397">
        <v>20088.537955895914</v>
      </c>
      <c r="I6" s="398">
        <v>52963.819011120962</v>
      </c>
      <c r="J6" s="400">
        <f>SUM('Pt 1 Summary of Data'!K$12,'Pt 1 Summary of Data'!K$22)+SUM('Pt 1 Summary of Data'!M$12,'Pt 1 Summary of Data'!M$22)-SUM('Pt 1 Summary of Data'!N$12,'Pt 1 Summary of Data'!N$22)</f>
        <v>0</v>
      </c>
      <c r="K6" s="400">
        <f>SUM(H6:J6)</f>
        <v>73052.35696701688</v>
      </c>
      <c r="L6" s="401">
        <f>SUM('Pt 1 Summary of Data'!O$12,'Pt 1 Summary of Data'!O$22)</f>
        <v>0</v>
      </c>
      <c r="M6" s="397"/>
      <c r="N6" s="398">
        <v>-29000.010300000002</v>
      </c>
      <c r="O6" s="400">
        <f>SUM('Pt 1 Summary of Data'!Q$12,'Pt 1 Summary of Data'!Q$22)+SUM('Pt 1 Summary of Data'!S$12,'Pt 1 Summary of Data'!S$22)-SUM('Pt 1 Summary of Data'!T$12,'Pt 1 Summary of Data'!T$22)</f>
        <v>0</v>
      </c>
      <c r="P6" s="400">
        <f>SUM(M6:O6)</f>
        <v>-29000.010300000002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71853.259999999995</v>
      </c>
      <c r="D7" s="398">
        <v>119588.91</v>
      </c>
      <c r="E7" s="400">
        <f>SUM('Pt 1 Summary of Data'!E$37:E$41)+SUM('Pt 1 Summary of Data'!G$37:G$41)-SUM('Pt 1 Summary of Data'!H$37:H$41)+MAX(0,MIN('Pt 1 Summary of Data'!E$42+'Pt 1 Summary of Data'!G$42-'Pt 1 Summary of Data'!H$42,0.3%*('Pt 1 Summary of Data'!E$5+'Pt 1 Summary of Data'!G$5-'Pt 1 Summary of Data'!H$5-SUM(E$9:E$11))))</f>
        <v>260090.72999999998</v>
      </c>
      <c r="F7" s="400">
        <f t="shared" si="0"/>
        <v>451532.89999999997</v>
      </c>
      <c r="G7" s="401">
        <f>SUM('Pt 1 Summary of Data'!I$37:I$41)+MAX(0,MIN(VALUE('Pt 1 Summary of Data'!I$42),0.3%*('Pt 1 Summary of Data'!I$5-SUM(G$9:G$10))))</f>
        <v>173066</v>
      </c>
      <c r="H7" s="397">
        <v>91.06</v>
      </c>
      <c r="I7" s="398">
        <v>1988.23</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2079.29</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1916249.4</v>
      </c>
      <c r="E8" s="400">
        <f>'Pt 2 Premium and Claims'!E58+'Pt 2 Premium and Claims'!G58-'Pt 2 Premium and Claims'!H58</f>
        <v>3961963.04</v>
      </c>
      <c r="F8" s="400">
        <f t="shared" si="0"/>
        <v>5878212.4399999995</v>
      </c>
      <c r="G8" s="401">
        <f>'Pt 2 Premium and Claims'!I58</f>
        <v>4129187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3343273.21</v>
      </c>
      <c r="E9" s="400">
        <f>'Pt 2 Premium and Claims'!E$15+'Pt 2 Premium and Claims'!G$15-'Pt 2 Premium and Claims'!H$15</f>
        <v>4106399</v>
      </c>
      <c r="F9" s="400">
        <f t="shared" si="0"/>
        <v>7449672.21</v>
      </c>
      <c r="G9" s="401">
        <f>'Pt 2 Premium and Claims'!I$15</f>
        <v>4106399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-983926.61</v>
      </c>
      <c r="E10" s="400">
        <f>'Pt 2 Premium and Claims'!E$16+'Pt 2 Premium and Claims'!G$16-'Pt 2 Premium and Claims'!H$16</f>
        <v>-3473430.83</v>
      </c>
      <c r="F10" s="400">
        <f t="shared" si="0"/>
        <v>-4457357.4400000004</v>
      </c>
      <c r="G10" s="401">
        <f>'Pt 2 Premium and Claims'!I$16</f>
        <v>-3473431</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115013.3119</v>
      </c>
      <c r="E11" s="400">
        <f>'Pt 2 Premium and Claims'!E$17+'Pt 2 Premium and Claims'!G$17-'Pt 2 Premium and Claims'!H$17</f>
        <v>0</v>
      </c>
      <c r="F11" s="400">
        <f t="shared" si="0"/>
        <v>115013.3119</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3825976.247</v>
      </c>
      <c r="D12" s="400">
        <f>SUM(D$6:D$7) - SUM(D$8:D$11)+IF(AND(OR('Company Information'!$C$12="District of Columbia",'Company Information'!$C$12="Massachusetts",'Company Information'!$C$12="Vermont"),SUM($C$6:$F$11,$C$15:$F$16,$C$38:$D$38)&lt;&gt;0),SUM(I$6:I$7) - SUM(I$10:I$11),0)</f>
        <v>16155843.830600003</v>
      </c>
      <c r="E12" s="400">
        <f>SUM(E$6:E$7)-SUM(E$8:E$11)+IF(AND(OR('Company Information'!$C$12="District of Columbia",'Company Information'!$C$12="Massachusetts",'Company Information'!$C$12="Vermont"),SUM($C$6:$F$11,$C$15:$F$16,$C$38:$D$38)&lt;&gt;0),SUM(J$6:J$7)-SUM(J$10:J$11),0)</f>
        <v>24964440.295499999</v>
      </c>
      <c r="F12" s="400">
        <f>IFERROR(SUM(C$12:E$12)+C$17*MAX(0,E$50-C$50)+D$17*MAX(0,E$50-D$50),0)</f>
        <v>44946260.373099998</v>
      </c>
      <c r="G12" s="447"/>
      <c r="H12" s="399">
        <f>SUM(H$6:H$7)+IF(AND(OR('Company Information'!$C$12="District of Columbia",'Company Information'!$C$12="Massachusetts",'Company Information'!$C$12="Vermont"),SUM($H$6:$K$11,$H$15:$K$16,$H$38:$I$38)&lt;&gt;0),SUM(C$6:C$7),0)</f>
        <v>20179.597955895915</v>
      </c>
      <c r="I12" s="400">
        <f>SUM(I$6:I$7) - SUM(I$10:I$11)+IF(AND(OR('Company Information'!$C$12="District of Columbia",'Company Information'!$C$12="Massachusetts",'Company Information'!$C$12="Vermont"),SUM($H$6:$K$11,$H$15:$K$16,$H$38:$I$38)&lt;&gt;0),SUM(D$6:D$7) - SUM(D$8:D$11),0)</f>
        <v>54952.049011120966</v>
      </c>
      <c r="J12" s="400">
        <f>SUM(J$6:J$7)-SUM(J$10:J$11)+IF(AND(OR('Company Information'!$C$12="District of Columbia",'Company Information'!$C$12="Massachusetts",'Company Information'!$C$12="Vermont"),SUM($H$6:$K$11,$H$15:$K$16,$H$38:$I$38)&lt;&gt;0),SUM(E$6:E$7)-SUM(E$8:E$11),0)</f>
        <v>0</v>
      </c>
      <c r="K12" s="400">
        <f>IFERROR(SUM(H$12:J$12)+H$17*MAX(0,J$50-H$50)+I$17*MAX(0,J$50-I$50),0)</f>
        <v>75131.646967016888</v>
      </c>
      <c r="L12" s="447"/>
      <c r="M12" s="399">
        <f>SUM(M$6:M$7)</f>
        <v>0</v>
      </c>
      <c r="N12" s="400">
        <f>SUM(N$6:N$7)</f>
        <v>-29000.010300000002</v>
      </c>
      <c r="O12" s="400">
        <f>SUM(O$6:O$7)</f>
        <v>0</v>
      </c>
      <c r="P12" s="400">
        <f>SUM(M$12:O$12)+M$17*MAX(0,O$50-M$50)+N$17*MAX(0,O$50-N$50)</f>
        <v>-29000.010300000002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5863694.9900000002</v>
      </c>
      <c r="D15" s="403">
        <v>18933507.600000001</v>
      </c>
      <c r="E15" s="395">
        <f>SUM('Pt 1 Summary of Data'!E$5:E$7)+SUM('Pt 1 Summary of Data'!G$5:G$7)-SUM('Pt 1 Summary of Data'!H$5:H$7)-SUM(E$9:E$11)</f>
        <v>26352219.759999998</v>
      </c>
      <c r="F15" s="395">
        <f>SUM(C15:E15)</f>
        <v>51149422.350000001</v>
      </c>
      <c r="G15" s="396">
        <f>SUM('Pt 1 Summary of Data'!I$5:I$7)-SUM(G$9:G$10)</f>
        <v>24984535</v>
      </c>
      <c r="H15" s="402">
        <v>27014.79</v>
      </c>
      <c r="I15" s="403">
        <v>28271.25</v>
      </c>
      <c r="J15" s="395">
        <f>SUM('Pt 1 Summary of Data'!K$5:K$7)+SUM('Pt 1 Summary of Data'!M$5:M$7)-SUM('Pt 1 Summary of Data'!N$5:N$7)-SUM(J$10:J$11)</f>
        <v>0</v>
      </c>
      <c r="K15" s="395">
        <f>SUM(H15:J15)</f>
        <v>55286.04</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272731.12</v>
      </c>
      <c r="D16" s="398">
        <v>1275057.98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1877467.8091239145</v>
      </c>
      <c r="F16" s="400">
        <f>SUM(C16:E16)</f>
        <v>3425256.9091239143</v>
      </c>
      <c r="G16" s="401">
        <f>SUM('Pt 1 Summary of Data'!I$25:I$28,'Pt 1 Summary of Data'!I$30,'Pt 1 Summary of Data'!I$34:I$35)+IF('Company Information'!$C$15="No",IF(MAX('Pt 1 Summary of Data'!I$31:I$32)=0,MIN('Pt 1 Summary of Data'!I$31:I$32),MAX('Pt 1 Summary of Data'!I$31:I$32)),SUM('Pt 1 Summary of Data'!I$31:I$32))</f>
        <v>465185</v>
      </c>
      <c r="H16" s="397">
        <v>5354</v>
      </c>
      <c r="I16" s="398">
        <v>1676.93</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7030.93</v>
      </c>
      <c r="L16" s="401">
        <f>SUM('Pt 1 Summary of Data'!O$25:O$28,'Pt 1 Summary of Data'!O$30,'Pt 1 Summary of Data'!O$34:O$35)+IF('Company Information'!$C$15="No",IF(MAX('Pt 1 Summary of Data'!O$31:O$32)=0,MIN('Pt 1 Summary of Data'!O$31:O$32),MAX('Pt 1 Summary of Data'!O$31:O$32)),SUM('Pt 1 Summary of Data'!O$31:O$32))</f>
        <v>0</v>
      </c>
      <c r="M16" s="397"/>
      <c r="N16" s="398">
        <v>12.29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12.29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5590963.8700000001</v>
      </c>
      <c r="D17" s="400">
        <f>D$15-D$16+IF(AND(OR('Company Information'!$C$12="District of Columbia",'Company Information'!$C$12="Massachusetts",'Company Information'!$C$12="Vermont"),SUM($C$6:$F$11,$C$15:$F$16,$C$38:$D$38)&lt;&gt;0),I$15-I$16,0)</f>
        <v>17658449.620000001</v>
      </c>
      <c r="E17" s="400">
        <f>E$15-E$16+IF(AND(OR('Company Information'!$C$12="District of Columbia",'Company Information'!$C$12="Massachusetts",'Company Information'!$C$12="Vermont"),SUM($C$6:$F$11,$C$15:$F$16,$C$38:$D$38)&lt;&gt;0),J$15-J$16,0)</f>
        <v>24474751.950876083</v>
      </c>
      <c r="F17" s="400">
        <f>F$15-F$16+IF(AND(OR('Company Information'!$C$12="District of Columbia",'Company Information'!$C$12="Massachusetts",'Company Information'!$C$12="Vermont"),SUM($C$6:$F$11,$C$15:$F$16,$C$38:$D$38)&lt;&gt;0),K$15-K$16,0)</f>
        <v>47724165.440876089</v>
      </c>
      <c r="G17" s="450"/>
      <c r="H17" s="399">
        <f>H$15-H$16+IF(AND(OR('Company Information'!$C$12="District of Columbia",'Company Information'!$C$12="Massachusetts",'Company Information'!$C$12="Vermont"),SUM($H$6:$K$11,$H$15:$K$16,$H$38:$I$38)&lt;&gt;0),C$15-C$16,0)</f>
        <v>21660.79</v>
      </c>
      <c r="I17" s="400">
        <f>I$15-I$16+IF(AND(OR('Company Information'!$C$12="District of Columbia",'Company Information'!$C$12="Massachusetts",'Company Information'!$C$12="Vermont"),SUM($H$6:$K$11,$H$15:$K$16,$H$38:$I$38)&lt;&gt;0),D$15-D$16,0)</f>
        <v>26594.32</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48255.11</v>
      </c>
      <c r="L17" s="450"/>
      <c r="M17" s="399">
        <f>M$15-M$16</f>
        <v>0</v>
      </c>
      <c r="N17" s="400">
        <f>N$15-N$16</f>
        <v>-12.29</v>
      </c>
      <c r="O17" s="400">
        <f>O$15-O$16</f>
        <v>0</v>
      </c>
      <c r="P17" s="400">
        <f>P$15-P$16</f>
        <v>-12.29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24843078</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3303616</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1225967.5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-3627344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1225967.5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735580.5</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4994768.5</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4994768.5</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5859442</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19989766.5</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4504381.5</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735580.5</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4504381.5</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5369055</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20480153.5</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1.2130318261530608</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2691614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2546229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3037</v>
      </c>
      <c r="D38" s="405">
        <v>5943.25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6667.583333333333</v>
      </c>
      <c r="F38" s="432">
        <f>SUM(C$38:E$38)+IF(AND(OR('Company Information'!$C$12="District of Columbia",'Company Information'!$C$12="Massachusetts",'Company Information'!$C$12="Vermont"),SUM($C$6:$F$11,$C$15:$F$16,$C$38:$D$38)&lt;&gt;0,SUM(C$38:D$38)&lt;&gt;SUM(H$38:I$38)),SUM(H$38:I$38),0)</f>
        <v>15647.833333333332</v>
      </c>
      <c r="G38" s="448"/>
      <c r="H38" s="404">
        <v>2</v>
      </c>
      <c r="I38" s="405">
        <v>1.75</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3.75</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2.2234777777777777E-2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8453</v>
      </c>
      <c r="G40" s="447"/>
      <c r="H40" s="443"/>
      <c r="I40" s="441"/>
      <c r="J40" s="441"/>
      <c r="K40" s="398">
        <v>500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1.6326604</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3.6301841180577776E-2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0.68431424991483625</v>
      </c>
      <c r="D45" s="436">
        <f>IF(OR(D$38&lt;1000,D$17&lt;=0),"",D$12/D$17)</f>
        <v>0.91490726412934098</v>
      </c>
      <c r="E45" s="436">
        <f>IF(OR(E$38&lt;1000,E$17&lt;=0),"",E$12/E$17)</f>
        <v>1.0200078981640666</v>
      </c>
      <c r="F45" s="436">
        <f>IF(OR(F$38&lt;1000,F$17&lt;=0),"",F$12/F$17)</f>
        <v>0.94179248516734049</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3.6301841180577776E-2</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0.97799999999999998</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0.97799999999999998</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24474751.950876083</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39241.261480000001</v>
      </c>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1823.881335</v>
      </c>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-208924</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16338980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16130056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4300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