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15" yWindow="-15" windowWidth="14520" windowHeight="12855"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O45" i="10"/>
  <c r="N45" i="10"/>
  <c r="M45" i="10"/>
  <c r="AB42" i="10"/>
  <c r="X42" i="10"/>
  <c r="T42" i="10"/>
  <c r="AB41" i="10"/>
  <c r="X41" i="10"/>
  <c r="T41" i="10"/>
  <c r="P41" i="10"/>
  <c r="K41" i="10"/>
  <c r="F41" i="10"/>
  <c r="T39" i="10"/>
  <c r="P39" i="10"/>
  <c r="AB38" i="10"/>
  <c r="AA38" i="10"/>
  <c r="X38" i="10"/>
  <c r="W38" i="10"/>
  <c r="T38" i="10"/>
  <c r="S38" i="10"/>
  <c r="P38" i="10"/>
  <c r="O38" i="10"/>
  <c r="L32" i="10"/>
  <c r="L27" i="10"/>
  <c r="L24" i="10"/>
  <c r="L23" i="10"/>
  <c r="L20" i="10"/>
  <c r="L19" i="10"/>
  <c r="L22" i="10" s="1"/>
  <c r="AB17" i="10"/>
  <c r="AA17" i="10"/>
  <c r="Z17" i="10"/>
  <c r="Y17" i="10"/>
  <c r="X17" i="10"/>
  <c r="W17" i="10"/>
  <c r="V17" i="10"/>
  <c r="U17" i="10"/>
  <c r="T17" i="10"/>
  <c r="S17" i="10"/>
  <c r="R17" i="10"/>
  <c r="Q17" i="10"/>
  <c r="P17" i="10"/>
  <c r="O17" i="10"/>
  <c r="N17" i="10"/>
  <c r="M17" i="10"/>
  <c r="AB16" i="10"/>
  <c r="AA16" i="10"/>
  <c r="X16" i="10"/>
  <c r="W16" i="10"/>
  <c r="V13" i="10" s="1"/>
  <c r="T16" i="10"/>
  <c r="S16" i="10"/>
  <c r="P16" i="10"/>
  <c r="O16" i="10"/>
  <c r="L16" i="10"/>
  <c r="K16" i="10"/>
  <c r="J16" i="10"/>
  <c r="G16" i="10"/>
  <c r="F16" i="10"/>
  <c r="E16" i="10"/>
  <c r="AB15" i="10"/>
  <c r="AA15" i="10"/>
  <c r="X15" i="10"/>
  <c r="W15" i="10"/>
  <c r="T15" i="10"/>
  <c r="S15" i="10"/>
  <c r="P15" i="10"/>
  <c r="O15" i="10"/>
  <c r="L15" i="10"/>
  <c r="AB13" i="10"/>
  <c r="AA13" i="10"/>
  <c r="Z13" i="10"/>
  <c r="Y13" i="10"/>
  <c r="W13" i="10"/>
  <c r="Q13" i="10"/>
  <c r="P12" i="10"/>
  <c r="P45" i="10" s="1"/>
  <c r="O12" i="10"/>
  <c r="N12" i="10"/>
  <c r="M12" i="10"/>
  <c r="K11" i="10"/>
  <c r="J11" i="10"/>
  <c r="F11" i="10"/>
  <c r="E11" i="10"/>
  <c r="L10" i="10"/>
  <c r="K10" i="10"/>
  <c r="J10" i="10"/>
  <c r="G10" i="10"/>
  <c r="F10" i="10"/>
  <c r="E10" i="10"/>
  <c r="G9" i="10"/>
  <c r="F9" i="10"/>
  <c r="E9" i="10"/>
  <c r="G8" i="10"/>
  <c r="F8" i="10"/>
  <c r="E8" i="10"/>
  <c r="AB7" i="10"/>
  <c r="AA7" i="10"/>
  <c r="X7" i="10"/>
  <c r="W7" i="10"/>
  <c r="T7" i="10"/>
  <c r="S7" i="10"/>
  <c r="P7" i="10"/>
  <c r="O7" i="10"/>
  <c r="L7" i="10"/>
  <c r="AB6" i="10"/>
  <c r="AA6" i="10"/>
  <c r="X6" i="10"/>
  <c r="W6" i="10"/>
  <c r="T6" i="10"/>
  <c r="S6" i="10"/>
  <c r="P6" i="10"/>
  <c r="O6" i="10"/>
  <c r="L6" i="10"/>
  <c r="K6" i="10"/>
  <c r="J6" i="10"/>
  <c r="G6" i="10"/>
  <c r="F6" i="10"/>
  <c r="E6" i="10"/>
  <c r="AU55" i="18"/>
  <c r="AT55" i="18"/>
  <c r="AS55" i="18"/>
  <c r="AC55" i="18"/>
  <c r="AC22" i="4" s="1"/>
  <c r="AB55" i="18"/>
  <c r="AB22" i="4" s="1"/>
  <c r="AA55" i="18"/>
  <c r="AA22" i="4" s="1"/>
  <c r="Z55" i="18"/>
  <c r="Z22" i="4" s="1"/>
  <c r="Y55" i="18"/>
  <c r="Y22" i="4" s="1"/>
  <c r="X55" i="18"/>
  <c r="X22" i="4" s="1"/>
  <c r="W55" i="18"/>
  <c r="W22" i="4" s="1"/>
  <c r="V55" i="18"/>
  <c r="V22" i="4" s="1"/>
  <c r="U55" i="18"/>
  <c r="U22" i="4" s="1"/>
  <c r="T55" i="18"/>
  <c r="T22" i="4" s="1"/>
  <c r="S55" i="18"/>
  <c r="S22" i="4" s="1"/>
  <c r="R55" i="18"/>
  <c r="Q55" i="18"/>
  <c r="Q22" i="4" s="1"/>
  <c r="P55" i="18"/>
  <c r="P22" i="4" s="1"/>
  <c r="O55" i="18"/>
  <c r="O22" i="4" s="1"/>
  <c r="N55" i="18"/>
  <c r="M55" i="18"/>
  <c r="M22" i="4" s="1"/>
  <c r="L55" i="18"/>
  <c r="L22" i="4" s="1"/>
  <c r="K55" i="18"/>
  <c r="K22" i="4" s="1"/>
  <c r="J55" i="18"/>
  <c r="J22" i="4" s="1"/>
  <c r="I55" i="18"/>
  <c r="H55" i="18"/>
  <c r="H22" i="4" s="1"/>
  <c r="G55" i="18"/>
  <c r="G22" i="4" s="1"/>
  <c r="F55" i="18"/>
  <c r="E55" i="18"/>
  <c r="E22" i="4" s="1"/>
  <c r="D55" i="18"/>
  <c r="D22" i="4" s="1"/>
  <c r="AU54" i="18"/>
  <c r="AT54" i="18"/>
  <c r="AT12" i="4" s="1"/>
  <c r="AS54" i="18"/>
  <c r="AS12" i="4" s="1"/>
  <c r="AC54" i="18"/>
  <c r="AC12" i="4" s="1"/>
  <c r="AB54" i="18"/>
  <c r="AB12" i="4" s="1"/>
  <c r="AA54" i="18"/>
  <c r="Z54" i="18"/>
  <c r="Z12" i="4" s="1"/>
  <c r="Y54" i="18"/>
  <c r="Y12" i="4" s="1"/>
  <c r="X54" i="18"/>
  <c r="X12" i="4" s="1"/>
  <c r="W54" i="18"/>
  <c r="W12" i="4" s="1"/>
  <c r="V54" i="18"/>
  <c r="V12" i="4" s="1"/>
  <c r="U54" i="18"/>
  <c r="U12" i="4" s="1"/>
  <c r="T54" i="18"/>
  <c r="T12" i="4" s="1"/>
  <c r="S54" i="18"/>
  <c r="R54" i="18"/>
  <c r="Q54" i="18"/>
  <c r="P54" i="18"/>
  <c r="P12" i="4" s="1"/>
  <c r="O54" i="18"/>
  <c r="O12" i="4" s="1"/>
  <c r="N54" i="18"/>
  <c r="N12" i="4" s="1"/>
  <c r="M54" i="18"/>
  <c r="M12" i="4" s="1"/>
  <c r="L54" i="18"/>
  <c r="K54" i="18"/>
  <c r="K12" i="4" s="1"/>
  <c r="J54" i="18"/>
  <c r="J12" i="4" s="1"/>
  <c r="I54" i="18"/>
  <c r="I12" i="4" s="1"/>
  <c r="H54" i="18"/>
  <c r="H12" i="4" s="1"/>
  <c r="G54" i="18"/>
  <c r="G12" i="4" s="1"/>
  <c r="F54" i="18"/>
  <c r="F12" i="4" s="1"/>
  <c r="E54" i="18"/>
  <c r="E12" i="4" s="1"/>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T22" i="4"/>
  <c r="AS22" i="4"/>
  <c r="R22" i="4"/>
  <c r="N22" i="4"/>
  <c r="I22" i="4"/>
  <c r="F22" i="4"/>
  <c r="AU12" i="4"/>
  <c r="AA12" i="4"/>
  <c r="S12" i="4"/>
  <c r="R12" i="4"/>
  <c r="Q12" i="4"/>
  <c r="L12" i="4"/>
  <c r="D12" i="4"/>
  <c r="AU5" i="4"/>
  <c r="AT5" i="4"/>
  <c r="AS5" i="4"/>
  <c r="AC5" i="4"/>
  <c r="AB5" i="4"/>
  <c r="AA5" i="4"/>
  <c r="Z5" i="4"/>
  <c r="Y5" i="4"/>
  <c r="X5" i="4"/>
  <c r="W5" i="4"/>
  <c r="V5" i="4"/>
  <c r="U5" i="4"/>
  <c r="T5" i="4"/>
  <c r="S5" i="4"/>
  <c r="R5" i="4"/>
  <c r="Q5" i="4"/>
  <c r="P5" i="4"/>
  <c r="O5" i="4"/>
  <c r="N5" i="4"/>
  <c r="M5" i="4"/>
  <c r="L5" i="4"/>
  <c r="K5" i="4"/>
  <c r="J5" i="4"/>
  <c r="I5" i="4"/>
  <c r="G15" i="10" s="1"/>
  <c r="H5" i="4"/>
  <c r="G5" i="4"/>
  <c r="F5" i="4"/>
  <c r="E5" i="4"/>
  <c r="D5" i="4"/>
  <c r="E15" i="10" l="1"/>
  <c r="F15" i="10" s="1"/>
  <c r="J15" i="10"/>
  <c r="K15" i="10" s="1"/>
  <c r="J7" i="10"/>
  <c r="E7" i="10"/>
  <c r="L30" i="10"/>
  <c r="L31" i="10" s="1"/>
  <c r="L29" i="10" s="1"/>
  <c r="L33" i="10" s="1"/>
  <c r="L34" i="10" s="1"/>
  <c r="G7" i="10"/>
  <c r="G24" i="10" s="1"/>
  <c r="G20" i="10"/>
  <c r="AB39" i="10"/>
  <c r="X39" i="10"/>
  <c r="P42" i="10"/>
  <c r="P47" i="10" s="1"/>
  <c r="P48" i="10" s="1"/>
  <c r="P51" i="10" s="1"/>
  <c r="P53" i="10" s="1"/>
  <c r="E11" i="16" s="1"/>
  <c r="L21" i="10"/>
  <c r="L26" i="10" s="1"/>
  <c r="L25" i="10" s="1"/>
  <c r="L28" i="10" s="1"/>
  <c r="T13" i="10"/>
  <c r="X13" i="10"/>
  <c r="U13" i="10"/>
  <c r="R13" i="10"/>
  <c r="S13" i="10"/>
  <c r="G32" i="10" l="1"/>
  <c r="G23" i="10"/>
  <c r="G19" i="10"/>
  <c r="G22" i="10" s="1"/>
  <c r="K7" i="10"/>
  <c r="J12" i="10" s="1"/>
  <c r="F7" i="10"/>
  <c r="E17" i="10" s="1"/>
  <c r="E38" i="10"/>
  <c r="G27" i="10"/>
  <c r="D12" i="10" l="1"/>
  <c r="I17" i="10"/>
  <c r="H17" i="10"/>
  <c r="J17" i="10"/>
  <c r="H12" i="10"/>
  <c r="K17" i="10"/>
  <c r="I12" i="10"/>
  <c r="J38" i="10"/>
  <c r="F38" i="10"/>
  <c r="E12" i="10"/>
  <c r="E45" i="10" s="1"/>
  <c r="C17" i="10"/>
  <c r="F17" i="10"/>
  <c r="C12" i="10"/>
  <c r="D17" i="10"/>
  <c r="G30" i="10"/>
  <c r="G31" i="10" s="1"/>
  <c r="G29" i="10" s="1"/>
  <c r="G33" i="10" s="1"/>
  <c r="G34" i="10" s="1"/>
  <c r="G21" i="10"/>
  <c r="G26" i="10" s="1"/>
  <c r="G25" i="10" s="1"/>
  <c r="G28" i="10" s="1"/>
  <c r="C45" i="10" l="1"/>
  <c r="H45" i="10"/>
  <c r="D45" i="10"/>
  <c r="F39" i="10" s="1"/>
  <c r="F42" i="10" s="1"/>
  <c r="K38" i="10"/>
  <c r="J45" i="10"/>
  <c r="I45" i="10"/>
  <c r="K12" i="10"/>
  <c r="F12" i="10"/>
  <c r="F45" i="10" s="1"/>
  <c r="F52" i="10"/>
  <c r="K45" i="10" l="1"/>
  <c r="K52" i="10"/>
  <c r="K39" i="10"/>
  <c r="K42" i="10" s="1"/>
  <c r="K47" i="10" s="1"/>
  <c r="K48" i="10" s="1"/>
  <c r="K51" i="10" s="1"/>
  <c r="K53" i="10" s="1"/>
  <c r="D11" i="16" s="1"/>
  <c r="F47" i="10"/>
  <c r="F48" i="10" s="1"/>
  <c r="F51" i="10" s="1"/>
  <c r="F53" i="10" s="1"/>
  <c r="C11" i="16" s="1"/>
</calcChain>
</file>

<file path=xl/sharedStrings.xml><?xml version="1.0" encoding="utf-8"?>
<sst xmlns="http://schemas.openxmlformats.org/spreadsheetml/2006/main" count="573" uniqueCount="512">
  <si>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</si>
  <si>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</si>
  <si>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</si>
  <si>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</si>
  <si>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</si>
  <si>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</si>
  <si>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</si>
  <si>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</si>
  <si>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</si>
  <si>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</si>
  <si>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</si>
  <si>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</si>
  <si>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</si>
  <si>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</si>
  <si>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</si>
  <si>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</si>
  <si>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</si>
  <si>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</si>
  <si>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</si>
  <si>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</si>
  <si>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</si>
  <si>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</si>
  <si>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</si>
  <si>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</si>
  <si>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</si>
  <si>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</si>
  <si>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</si>
  <si>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</si>
  <si>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</si>
  <si>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</si>
  <si>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</si>
  <si>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</si>
  <si>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</si>
  <si>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</si>
  <si>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</si>
  <si>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</si>
  <si>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</si>
  <si>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</si>
  <si>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</si>
  <si>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</si>
  <si>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</si>
  <si>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</si>
  <si>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</si>
  <si>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</si>
  <si>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</si>
  <si>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</si>
  <si>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</si>
  <si>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</si>
  <si>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</si>
  <si>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</si>
  <si>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</si>
  <si>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</si>
  <si>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</si>
  <si>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</si>
  <si>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</si>
  <si>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</si>
  <si>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</si>
  <si>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</si>
  <si>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</si>
  <si>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</si>
  <si>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</si>
  <si>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</si>
  <si>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</si>
  <si>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</si>
  <si>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</si>
  <si>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</si>
  <si>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</si>
  <si>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</si>
  <si>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</si>
  <si>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</si>
  <si>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</si>
  <si>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</si>
  <si>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</si>
  <si>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</si>
  <si>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</si>
  <si>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</si>
  <si>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</si>
  <si>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</si>
  <si>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</si>
  <si>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</si>
  <si>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</si>
  <si>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</si>
  <si>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</si>
  <si>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</si>
  <si>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</si>
  <si>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</si>
  <si>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</si>
  <si>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</si>
  <si>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</si>
  <si>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</si>
  <si>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</si>
  <si>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</si>
  <si>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</si>
  <si>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</si>
  <si>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</si>
  <si>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</si>
  <si>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</si>
  <si>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</si>
  <si>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</si>
  <si>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</si>
  <si>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</si>
  <si>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</si>
  <si>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</si>
  <si>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</si>
  <si>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</si>
  <si>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</si>
  <si>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</si>
  <si>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</si>
  <si>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</si>
  <si>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</si>
  <si>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</si>
  <si>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</si>
  <si>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</si>
  <si>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</si>
  <si>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</si>
  <si>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</si>
  <si>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</si>
  <si>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</si>
  <si>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</si>
  <si>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</si>
  <si>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</si>
  <si>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</si>
  <si>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</si>
  <si>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</si>
  <si>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</si>
  <si>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</si>
  <si>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</si>
  <si>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</si>
  <si>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</si>
  <si>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</si>
  <si>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</si>
  <si>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</si>
  <si>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</si>
  <si>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</si>
  <si>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</si>
  <si>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</si>
  <si>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</si>
  <si>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</si>
  <si>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</si>
  <si>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</si>
  <si>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</si>
  <si>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</si>
  <si>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</si>
  <si>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</si>
  <si>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</si>
  <si>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</si>
  <si>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</si>
  <si>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</si>
  <si>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</si>
  <si>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</si>
  <si>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</si>
  <si>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</si>
  <si>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</si>
  <si>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</si>
  <si>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</si>
  <si>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</si>
  <si>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</si>
  <si>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</si>
  <si>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</si>
  <si>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</si>
  <si>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</si>
  <si>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</si>
  <si>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</si>
  <si>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</si>
  <si>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</si>
  <si>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</si>
  <si>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</si>
  <si>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</si>
  <si>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</si>
  <si>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</si>
  <si>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</si>
  <si>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</si>
  <si>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</si>
  <si>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</si>
  <si>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</si>
  <si>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</si>
  <si>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</si>
  <si>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</si>
  <si>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</si>
  <si>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</si>
  <si>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</si>
  <si>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</si>
  <si>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</si>
  <si>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</si>
  <si>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</si>
  <si>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</si>
  <si>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</si>
  <si>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</si>
  <si>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</si>
  <si>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</si>
  <si>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</si>
  <si>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</si>
  <si>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</si>
  <si>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</si>
  <si>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</si>
  <si>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</si>
  <si>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</si>
  <si>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</si>
  <si>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</si>
  <si>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</si>
  <si>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</si>
  <si>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</si>
  <si>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</si>
  <si>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</si>
  <si>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</si>
  <si>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</si>
  <si>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</si>
  <si>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</si>
  <si>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</si>
  <si>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</si>
  <si>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</si>
  <si>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</si>
  <si>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</si>
  <si>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</si>
  <si>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</si>
  <si>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</si>
  <si>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</si>
  <si>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</si>
  <si>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</si>
  <si>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</si>
  <si>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</si>
  <si>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</si>
  <si>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</si>
  <si>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</si>
  <si>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</si>
  <si>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</si>
  <si>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</si>
  <si>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</si>
  <si>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</si>
  <si>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</si>
  <si>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</si>
  <si>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</si>
  <si>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</si>
  <si>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</si>
  <si>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</si>
  <si>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</si>
  <si>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</si>
  <si>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</si>
  <si>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</si>
  <si>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</si>
  <si>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</si>
  <si>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</si>
  <si>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</si>
  <si>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</si>
  <si>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</si>
  <si>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</si>
  <si>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</si>
  <si>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</si>
  <si>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</si>
  <si>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</si>
  <si>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</si>
  <si>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</si>
  <si>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</si>
  <si>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</si>
  <si>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</si>
  <si>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</si>
  <si>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</si>
  <si>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</si>
  <si>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</si>
  <si>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</si>
  <si>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</si>
  <si>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</si>
  <si>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</si>
  <si>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</si>
  <si>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</si>
  <si>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</si>
  <si>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</si>
  <si>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</si>
  <si>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</si>
  <si>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</si>
  <si>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</si>
  <si>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</si>
  <si>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</si>
  <si>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</si>
  <si>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</si>
  <si>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</si>
  <si>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</si>
  <si>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</si>
  <si>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</si>
  <si>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</si>
  <si>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</si>
  <si>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</si>
  <si>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</si>
  <si>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</si>
  <si>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</si>
  <si>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</si>
  <si>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</si>
  <si>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</si>
  <si>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</si>
  <si>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</si>
  <si>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</si>
  <si>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</si>
  <si>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</si>
  <si>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</si>
  <si>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</si>
  <si>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</si>
  <si>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</si>
  <si>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</si>
  <si>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</si>
  <si>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</si>
  <si>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</si>
  <si>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</si>
  <si>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</si>
  <si>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</si>
  <si>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</si>
  <si>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</si>
  <si>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</si>
  <si>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</si>
  <si>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</si>
  <si>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</si>
  <si>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</si>
  <si>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</si>
  <si>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</si>
  <si>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</si>
  <si>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</si>
  <si>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</si>
  <si>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</si>
  <si>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</si>
  <si>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</si>
  <si>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</si>
  <si>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</si>
  <si>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</si>
  <si>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</si>
  <si>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</si>
  <si>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</si>
  <si>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</si>
  <si>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</si>
  <si>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</si>
  <si>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</si>
  <si>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</si>
  <si>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</si>
  <si>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</si>
  <si>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</si>
  <si>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</si>
  <si>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</si>
  <si>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</si>
  <si>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</si>
  <si>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</si>
  <si>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</si>
  <si>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</si>
  <si>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</si>
  <si>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</si>
  <si>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</si>
  <si>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</si>
  <si>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</si>
  <si>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</si>
  <si>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</si>
  <si>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</si>
  <si>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</si>
  <si>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</si>
  <si>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</si>
  <si>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</si>
  <si>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</si>
  <si>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</si>
  <si>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</si>
  <si>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</si>
  <si>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</si>
  <si>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</si>
  <si>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</si>
  <si>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</si>
  <si>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</si>
  <si>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</si>
  <si>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</si>
  <si>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</si>
  <si>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</si>
  <si>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</si>
  <si>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</si>
  <si>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</si>
  <si>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</si>
  <si>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</si>
  <si>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</si>
  <si>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</si>
  <si>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</si>
  <si>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</si>
  <si>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</si>
  <si>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</si>
  <si>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</si>
  <si>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</si>
  <si>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</si>
  <si>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</si>
  <si>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</si>
  <si>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</si>
  <si>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</si>
  <si>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</si>
  <si>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</si>
  <si>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</si>
  <si>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</si>
  <si>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</si>
  <si>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</si>
  <si>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</si>
  <si>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</si>
  <si>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</si>
  <si>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</si>
  <si>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</si>
  <si>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</si>
  <si>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</si>
  <si>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</si>
  <si>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</si>
  <si>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</si>
  <si>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</si>
  <si>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</si>
  <si>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</si>
  <si>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</si>
  <si>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</si>
  <si>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</si>
  <si>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</si>
  <si>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</si>
  <si>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</si>
  <si>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</si>
  <si>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</si>
  <si>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</si>
  <si>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</si>
  <si>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</si>
  <si>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</si>
  <si>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</si>
  <si>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</si>
  <si>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</si>
  <si>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</si>
  <si>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</si>
  <si>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</si>
  <si>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</si>
  <si>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</si>
  <si>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</si>
  <si>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</si>
  <si>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</si>
  <si>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</si>
  <si>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</si>
  <si>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</si>
  <si>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</si>
  <si>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</si>
  <si>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</si>
  <si>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</si>
  <si>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</si>
  <si>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</si>
  <si>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</si>
  <si>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</si>
  <si>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</si>
  <si>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</si>
  <si>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</si>
  <si>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</si>
  <si>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</si>
  <si>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</si>
  <si>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</si>
  <si>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</si>
  <si>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</si>
  <si>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</si>
  <si>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</si>
  <si>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</si>
  <si>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</si>
  <si>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</si>
  <si>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</si>
  <si>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</si>
  <si>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</si>
  <si>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</si>
  <si>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</si>
  <si>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</si>
  <si>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</si>
  <si>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</si>
  <si>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</si>
  <si>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</si>
  <si>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</si>
  <si>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</si>
  <si>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</si>
  <si>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</si>
  <si>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</si>
  <si>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</si>
  <si>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</si>
  <si>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</si>
  <si>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</si>
  <si>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</si>
  <si>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</si>
  <si>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</si>
  <si>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</si>
  <si>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</si>
  <si>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</si>
  <si>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</si>
  <si>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</si>
  <si>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</si>
  <si>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</si>
  <si>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</si>
  <si>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</si>
  <si>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</si>
  <si>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</si>
  <si>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</si>
  <si>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</si>
  <si>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</si>
  <si>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</si>
  <si>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</si>
  <si>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</si>
  <si>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</si>
  <si>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</si>
  <si>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</si>
  <si>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</si>
  <si>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</si>
  <si>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</si>
  <si>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</si>
  <si>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Humana Insurance Company</t>
  </si>
  <si>
    <t>HUMANA GRP</t>
  </si>
  <si>
    <t>Humana</t>
  </si>
  <si>
    <t>119</t>
  </si>
  <si>
    <t>2015</t>
  </si>
  <si>
    <t>1100 Employers Boulevard DePere, WI 54115</t>
  </si>
  <si>
    <t>391263473</t>
  </si>
  <si>
    <t>073288</t>
  </si>
  <si>
    <t>73288</t>
  </si>
  <si>
    <t>66105</t>
  </si>
  <si>
    <t>219</t>
  </si>
  <si>
    <t>Humana Health Plan, Inc.</t>
  </si>
  <si>
    <t>Humana Insurance of Puerto Rico, Inc.</t>
  </si>
  <si>
    <t>Emphesys Insurance Company</t>
  </si>
  <si>
    <t>A written notice was mailed to the owner of the unclaimed rebate at the last known address.</t>
  </si>
  <si>
    <t>For individual subscribers, we disbursed the unclaimed rebates according to the escheat laws of the particular state.  For groups that were out of business or that were unreachable, we disbursed the unclaimed rebates to the subscribers.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</si>
</sst>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138</v>
      </c>
    </row>
    <row r="13" spans="1:6" x14ac:dyDescent="0.2">
      <c r="B13" s="147" t="s">
        <v>50</v>
      </c>
      <c r="C13" s="480" t="s">
        <v>192</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16238479</v>
      </c>
      <c r="E5" s="213">
        <f>SUM('Pt 2 Premium and Claims'!E$5,'Pt 2 Premium and Claims'!E$6,-'Pt 2 Premium and Claims'!E$7,-'Pt 2 Premium and Claims'!E$13,'Pt 2 Premium and Claims'!E$14:'Pt 2 Premium and Claims'!E$17)</f>
        <v>18063945.059999999</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31109463</v>
      </c>
      <c r="K5" s="213">
        <f>SUM('Pt 2 Premium and Claims'!K$5,'Pt 2 Premium and Claims'!K$6,-'Pt 2 Premium and Claims'!K$7,-'Pt 2 Premium and Claims'!K$13,'Pt 2 Premium and Claims'!K$14,'Pt 2 Premium and Claims'!K$16:'Pt 2 Premium and Claims'!K$17)</f>
        <v>21026805.3350126</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12230267</v>
      </c>
      <c r="Q5" s="213">
        <f>SUM('Pt 2 Premium and Claims'!Q$5,'Pt 2 Premium and Claims'!Q$6,-'Pt 2 Premium and Claims'!Q$7,-'Pt 2 Premium and Claims'!Q$13,'Pt 2 Premium and Claims'!Q$14)</f>
        <v>8019816.2168691</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19086314</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-227</v>
      </c>
      <c r="E7" s="217">
        <v>-227.33</v>
      </c>
      <c r="F7" s="217"/>
      <c r="G7" s="217"/>
      <c r="H7" s="217"/>
      <c r="I7" s="216"/>
      <c r="J7" s="216">
        <v>-513</v>
      </c>
      <c r="K7" s="217">
        <v>-371.6</v>
      </c>
      <c r="L7" s="217"/>
      <c r="M7" s="217"/>
      <c r="N7" s="217"/>
      <c r="O7" s="216"/>
      <c r="P7" s="216">
        <v>-547</v>
      </c>
      <c r="Q7" s="217">
        <v>-317.5</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-24</v>
      </c>
      <c r="AU7" s="220">
        <v>0</v>
      </c>
      <c r="AV7" s="290"/>
      <c r="AW7" s="297"/>
    </row>
    <row r="8" spans="1:49" ht="25.5" x14ac:dyDescent="0.2">
      <c r="B8" s="239" t="s">
        <v>225</v>
      </c>
      <c r="C8" s="203" t="s">
        <v>59</v>
      </c>
      <c r="D8" s="216">
        <v>-126139</v>
      </c>
      <c r="E8" s="268"/>
      <c r="F8" s="269"/>
      <c r="G8" s="269"/>
      <c r="H8" s="269"/>
      <c r="I8" s="272"/>
      <c r="J8" s="216">
        <v>-56181</v>
      </c>
      <c r="K8" s="268"/>
      <c r="L8" s="269"/>
      <c r="M8" s="269"/>
      <c r="N8" s="269"/>
      <c r="O8" s="272"/>
      <c r="P8" s="216">
        <v>-17819</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540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14555642</v>
      </c>
      <c r="E12" s="213">
        <f>'Pt 2 Premium and Claims'!E$54</f>
        <v>12122248.972500002</v>
      </c>
      <c r="F12" s="213">
        <f>'Pt 2 Premium and Claims'!F$54</f>
        <v>0</v>
      </c>
      <c r="G12" s="213">
        <f>'Pt 2 Premium and Claims'!G$54</f>
        <v>0</v>
      </c>
      <c r="H12" s="213">
        <f>'Pt 2 Premium and Claims'!H$54</f>
        <v>0</v>
      </c>
      <c r="I12" s="212">
        <f>'Pt 2 Premium and Claims'!I$54</f>
        <v>0</v>
      </c>
      <c r="J12" s="212">
        <f>'Pt 2 Premium and Claims'!J$54</f>
        <v>23537548</v>
      </c>
      <c r="K12" s="213">
        <f>'Pt 2 Premium and Claims'!K$54</f>
        <v>13618650.794939971</v>
      </c>
      <c r="L12" s="213">
        <f>'Pt 2 Premium and Claims'!L$54</f>
        <v>0</v>
      </c>
      <c r="M12" s="213">
        <f>'Pt 2 Premium and Claims'!M$54</f>
        <v>0</v>
      </c>
      <c r="N12" s="213">
        <f>'Pt 2 Premium and Claims'!N$54</f>
        <v>0</v>
      </c>
      <c r="O12" s="212">
        <f>'Pt 2 Premium and Claims'!O$54</f>
        <v>0</v>
      </c>
      <c r="P12" s="212">
        <f>'Pt 2 Premium and Claims'!P$54</f>
        <v>8540051</v>
      </c>
      <c r="Q12" s="213">
        <f>'Pt 2 Premium and Claims'!Q$54</f>
        <v>5929278.3148877146</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11653480</v>
      </c>
      <c r="AU12" s="214">
        <f>'Pt 2 Premium and Claims'!AU$54</f>
        <v>0</v>
      </c>
      <c r="AV12" s="291"/>
      <c r="AW12" s="296"/>
    </row>
    <row r="13" spans="1:49" ht="25.5" x14ac:dyDescent="0.2">
      <c r="B13" s="239" t="s">
        <v>230</v>
      </c>
      <c r="C13" s="203" t="s">
        <v>37</v>
      </c>
      <c r="D13" s="216">
        <v>3652810</v>
      </c>
      <c r="E13" s="217">
        <v>3812544.2</v>
      </c>
      <c r="F13" s="217"/>
      <c r="G13" s="268"/>
      <c r="H13" s="269"/>
      <c r="I13" s="216"/>
      <c r="J13" s="216">
        <v>2661299</v>
      </c>
      <c r="K13" s="217">
        <v>2266196.0493372553</v>
      </c>
      <c r="L13" s="217"/>
      <c r="M13" s="268"/>
      <c r="N13" s="269"/>
      <c r="O13" s="216"/>
      <c r="P13" s="216">
        <v>1133979</v>
      </c>
      <c r="Q13" s="217">
        <v>1542466.2006627445</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38436</v>
      </c>
      <c r="AU13" s="220">
        <v>0</v>
      </c>
      <c r="AV13" s="290"/>
      <c r="AW13" s="297"/>
    </row>
    <row r="14" spans="1:49" ht="25.5" x14ac:dyDescent="0.2">
      <c r="B14" s="239" t="s">
        <v>231</v>
      </c>
      <c r="C14" s="203" t="s">
        <v>6</v>
      </c>
      <c r="D14" s="216">
        <v>272750</v>
      </c>
      <c r="E14" s="217">
        <v>279604.44</v>
      </c>
      <c r="F14" s="217"/>
      <c r="G14" s="267"/>
      <c r="H14" s="270"/>
      <c r="I14" s="216"/>
      <c r="J14" s="216">
        <v>390216</v>
      </c>
      <c r="K14" s="217">
        <v>364861.36596473801</v>
      </c>
      <c r="L14" s="217"/>
      <c r="M14" s="267"/>
      <c r="N14" s="270"/>
      <c r="O14" s="216"/>
      <c r="P14" s="216">
        <v>197383</v>
      </c>
      <c r="Q14" s="217">
        <v>232344.48403526202</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49</v>
      </c>
      <c r="AU14" s="220">
        <v>0</v>
      </c>
      <c r="AV14" s="290"/>
      <c r="AW14" s="297"/>
    </row>
    <row r="15" spans="1:49" ht="38.25" x14ac:dyDescent="0.2">
      <c r="B15" s="239" t="s">
        <v>232</v>
      </c>
      <c r="C15" s="203" t="s">
        <v>7</v>
      </c>
      <c r="D15" s="216">
        <v>68</v>
      </c>
      <c r="E15" s="217">
        <v>68.38</v>
      </c>
      <c r="F15" s="217"/>
      <c r="G15" s="267"/>
      <c r="H15" s="273"/>
      <c r="I15" s="216"/>
      <c r="J15" s="216">
        <v>137</v>
      </c>
      <c r="K15" s="217">
        <v>90.251944806779605</v>
      </c>
      <c r="L15" s="217"/>
      <c r="M15" s="267"/>
      <c r="N15" s="273"/>
      <c r="O15" s="216"/>
      <c r="P15" s="216">
        <v>59</v>
      </c>
      <c r="Q15" s="217">
        <v>39.638055193220389</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84</v>
      </c>
      <c r="AU15" s="220">
        <v>0</v>
      </c>
      <c r="AV15" s="290"/>
      <c r="AW15" s="297"/>
    </row>
    <row r="16" spans="1:49" ht="25.5" x14ac:dyDescent="0.2">
      <c r="B16" s="239" t="s">
        <v>233</v>
      </c>
      <c r="C16" s="203" t="s">
        <v>61</v>
      </c>
      <c r="D16" s="216">
        <v>-1809827</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-22952</v>
      </c>
      <c r="AU16" s="220">
        <v>0</v>
      </c>
      <c r="AV16" s="290"/>
      <c r="AW16" s="297"/>
    </row>
    <row r="17" spans="1:49" x14ac:dyDescent="0.2">
      <c r="B17" s="239" t="s">
        <v>234</v>
      </c>
      <c r="C17" s="203" t="s">
        <v>62</v>
      </c>
      <c r="D17" s="216">
        <v>-1118658</v>
      </c>
      <c r="E17" s="267"/>
      <c r="F17" s="270"/>
      <c r="G17" s="270"/>
      <c r="H17" s="270"/>
      <c r="I17" s="271"/>
      <c r="J17" s="216">
        <v>126692</v>
      </c>
      <c r="K17" s="267"/>
      <c r="L17" s="270"/>
      <c r="M17" s="270"/>
      <c r="N17" s="270"/>
      <c r="O17" s="271"/>
      <c r="P17" s="216">
        <v>-168193</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1363232</v>
      </c>
      <c r="E18" s="267"/>
      <c r="F18" s="270"/>
      <c r="G18" s="270"/>
      <c r="H18" s="273"/>
      <c r="I18" s="271"/>
      <c r="J18" s="216">
        <v>1497641</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612989</v>
      </c>
      <c r="E19" s="267"/>
      <c r="F19" s="270"/>
      <c r="G19" s="270"/>
      <c r="H19" s="270"/>
      <c r="I19" s="271"/>
      <c r="J19" s="216">
        <v>1927121</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688696</v>
      </c>
      <c r="E20" s="267"/>
      <c r="F20" s="270"/>
      <c r="G20" s="270"/>
      <c r="H20" s="270"/>
      <c r="I20" s="271"/>
      <c r="J20" s="216">
        <v>302789</v>
      </c>
      <c r="K20" s="267"/>
      <c r="L20" s="270"/>
      <c r="M20" s="270"/>
      <c r="N20" s="270"/>
      <c r="O20" s="271"/>
      <c r="P20" s="216">
        <v>3</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26497.119999999999</v>
      </c>
      <c r="E22" s="222">
        <f>'Pt 2 Premium and Claims'!E$55</f>
        <v>26497.119999999999</v>
      </c>
      <c r="F22" s="222">
        <f>'Pt 2 Premium and Claims'!F$55</f>
        <v>0</v>
      </c>
      <c r="G22" s="222">
        <f>'Pt 2 Premium and Claims'!G$55</f>
        <v>0</v>
      </c>
      <c r="H22" s="222">
        <f>'Pt 2 Premium and Claims'!H$55</f>
        <v>0</v>
      </c>
      <c r="I22" s="221">
        <f>'Pt 2 Premium and Claims'!I$55</f>
        <v>0</v>
      </c>
      <c r="J22" s="221">
        <f>'Pt 2 Premium and Claims'!J$55</f>
        <v>46330.82</v>
      </c>
      <c r="K22" s="222">
        <f>'Pt 2 Premium and Claims'!K$55</f>
        <v>28464.28927813912</v>
      </c>
      <c r="L22" s="222">
        <f>'Pt 2 Premium and Claims'!L$55</f>
        <v>0</v>
      </c>
      <c r="M22" s="222">
        <f>'Pt 2 Premium and Claims'!M$55</f>
        <v>0</v>
      </c>
      <c r="N22" s="222">
        <f>'Pt 2 Premium and Claims'!N$55</f>
        <v>0</v>
      </c>
      <c r="O22" s="221">
        <f>'Pt 2 Premium and Claims'!O$55</f>
        <v>0</v>
      </c>
      <c r="P22" s="221">
        <f>'Pt 2 Premium and Claims'!P$55</f>
        <v>20344.439999999999</v>
      </c>
      <c r="Q22" s="222">
        <f>'Pt 2 Premium and Claims'!Q$55</f>
        <v>12059.97072186088</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-861401.16</v>
      </c>
      <c r="E25" s="217">
        <v>-861400.89343187097</v>
      </c>
      <c r="F25" s="217"/>
      <c r="G25" s="217"/>
      <c r="H25" s="217"/>
      <c r="I25" s="216"/>
      <c r="J25" s="216">
        <v>1247231.1399999999</v>
      </c>
      <c r="K25" s="217">
        <v>901298.12735003012</v>
      </c>
      <c r="L25" s="217"/>
      <c r="M25" s="217"/>
      <c r="N25" s="217"/>
      <c r="O25" s="216"/>
      <c r="P25" s="216">
        <v>25538.639999999999</v>
      </c>
      <c r="Q25" s="217">
        <v>90724.157740612092</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781489.15</v>
      </c>
      <c r="AU25" s="220"/>
      <c r="AV25" s="220"/>
      <c r="AW25" s="297"/>
    </row>
    <row r="26" spans="1:49" s="5" customFormat="1" x14ac:dyDescent="0.2">
      <c r="A26" s="35"/>
      <c r="B26" s="242" t="s">
        <v>242</v>
      </c>
      <c r="C26" s="203"/>
      <c r="D26" s="216">
        <v>13966.27</v>
      </c>
      <c r="E26" s="217">
        <v>13966.27</v>
      </c>
      <c r="F26" s="217"/>
      <c r="G26" s="217"/>
      <c r="H26" s="217"/>
      <c r="I26" s="216"/>
      <c r="J26" s="216">
        <v>15740.22</v>
      </c>
      <c r="K26" s="217">
        <v>9919.5718525707089</v>
      </c>
      <c r="L26" s="217"/>
      <c r="M26" s="217"/>
      <c r="N26" s="217"/>
      <c r="O26" s="216"/>
      <c r="P26" s="216">
        <v>9783.5</v>
      </c>
      <c r="Q26" s="217">
        <v>6530.9481474292916</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468.59</v>
      </c>
      <c r="AU26" s="220"/>
      <c r="AV26" s="220"/>
      <c r="AW26" s="297"/>
    </row>
    <row r="27" spans="1:49" s="5" customFormat="1" x14ac:dyDescent="0.2">
      <c r="B27" s="242" t="s">
        <v>243</v>
      </c>
      <c r="C27" s="203"/>
      <c r="D27" s="216">
        <v>246928.13</v>
      </c>
      <c r="E27" s="217">
        <v>246928.13</v>
      </c>
      <c r="F27" s="217"/>
      <c r="G27" s="217"/>
      <c r="H27" s="217"/>
      <c r="I27" s="216"/>
      <c r="J27" s="216">
        <v>521015.71</v>
      </c>
      <c r="K27" s="217">
        <v>343983.03512092825</v>
      </c>
      <c r="L27" s="217"/>
      <c r="M27" s="217"/>
      <c r="N27" s="217"/>
      <c r="O27" s="216"/>
      <c r="P27" s="216">
        <v>212148.64</v>
      </c>
      <c r="Q27" s="217">
        <v>136481.20487907177</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221792.43</v>
      </c>
      <c r="AU27" s="220"/>
      <c r="AV27" s="293"/>
      <c r="AW27" s="297"/>
    </row>
    <row r="28" spans="1:49" s="5" customFormat="1" x14ac:dyDescent="0.2">
      <c r="A28" s="35"/>
      <c r="B28" s="242" t="s">
        <v>244</v>
      </c>
      <c r="C28" s="203"/>
      <c r="D28" s="216">
        <v>44615.519999999997</v>
      </c>
      <c r="E28" s="217">
        <v>44615.519999999997</v>
      </c>
      <c r="F28" s="217"/>
      <c r="G28" s="217"/>
      <c r="H28" s="217"/>
      <c r="I28" s="216"/>
      <c r="J28" s="216">
        <v>60631.94</v>
      </c>
      <c r="K28" s="217">
        <v>37393.369814420927</v>
      </c>
      <c r="L28" s="217"/>
      <c r="M28" s="217"/>
      <c r="N28" s="217"/>
      <c r="O28" s="216"/>
      <c r="P28" s="216">
        <v>29759.17</v>
      </c>
      <c r="Q28" s="217">
        <v>17702.950185579073</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61281.06</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-61860.21</v>
      </c>
      <c r="E30" s="217">
        <v>-61860.189140418559</v>
      </c>
      <c r="F30" s="217"/>
      <c r="G30" s="217"/>
      <c r="H30" s="217"/>
      <c r="I30" s="216"/>
      <c r="J30" s="216">
        <v>104910.37</v>
      </c>
      <c r="K30" s="217">
        <v>75114.470797229442</v>
      </c>
      <c r="L30" s="217"/>
      <c r="M30" s="217"/>
      <c r="N30" s="217"/>
      <c r="O30" s="216"/>
      <c r="P30" s="216">
        <v>5375.78</v>
      </c>
      <c r="Q30" s="217">
        <v>9096.4906281528456</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68463.72</v>
      </c>
      <c r="AU30" s="220"/>
      <c r="AV30" s="220"/>
      <c r="AW30" s="297"/>
    </row>
    <row r="31" spans="1:49" x14ac:dyDescent="0.2">
      <c r="B31" s="242" t="s">
        <v>247</v>
      </c>
      <c r="C31" s="203"/>
      <c r="D31" s="216">
        <v>252193.59</v>
      </c>
      <c r="E31" s="217">
        <v>252193.59</v>
      </c>
      <c r="F31" s="217"/>
      <c r="G31" s="217"/>
      <c r="H31" s="217"/>
      <c r="I31" s="216"/>
      <c r="J31" s="216">
        <v>480647.97</v>
      </c>
      <c r="K31" s="217">
        <v>314521.68103384064</v>
      </c>
      <c r="L31" s="217"/>
      <c r="M31" s="217"/>
      <c r="N31" s="217"/>
      <c r="O31" s="216"/>
      <c r="P31" s="216">
        <v>204120.25</v>
      </c>
      <c r="Q31" s="217">
        <v>133839.25896615934</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303393.58</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114327.8</v>
      </c>
      <c r="E34" s="217">
        <v>207775.06</v>
      </c>
      <c r="F34" s="217"/>
      <c r="G34" s="217"/>
      <c r="H34" s="217"/>
      <c r="I34" s="216"/>
      <c r="J34" s="216">
        <v>217596.15</v>
      </c>
      <c r="K34" s="217">
        <v>205199.96629425214</v>
      </c>
      <c r="L34" s="217"/>
      <c r="M34" s="217"/>
      <c r="N34" s="217"/>
      <c r="O34" s="216"/>
      <c r="P34" s="216">
        <v>71515.97</v>
      </c>
      <c r="Q34" s="217">
        <v>83912.153705747856</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36344.019999999997</v>
      </c>
      <c r="E35" s="217">
        <v>36344.019999999997</v>
      </c>
      <c r="F35" s="217"/>
      <c r="G35" s="217"/>
      <c r="H35" s="217"/>
      <c r="I35" s="216"/>
      <c r="J35" s="216">
        <v>25293.62</v>
      </c>
      <c r="K35" s="217">
        <v>16278.537057391832</v>
      </c>
      <c r="L35" s="217"/>
      <c r="M35" s="217"/>
      <c r="N35" s="217"/>
      <c r="O35" s="216"/>
      <c r="P35" s="216">
        <v>11124.89</v>
      </c>
      <c r="Q35" s="217">
        <v>7755.5829426081691</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43908.66</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67603</v>
      </c>
      <c r="E37" s="225">
        <v>67603.27</v>
      </c>
      <c r="F37" s="225"/>
      <c r="G37" s="225"/>
      <c r="H37" s="225"/>
      <c r="I37" s="224"/>
      <c r="J37" s="224">
        <v>51741</v>
      </c>
      <c r="K37" s="225">
        <v>38337.237530865023</v>
      </c>
      <c r="L37" s="225"/>
      <c r="M37" s="225"/>
      <c r="N37" s="225"/>
      <c r="O37" s="224"/>
      <c r="P37" s="224">
        <v>79451</v>
      </c>
      <c r="Q37" s="225">
        <v>62928.832469134977</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688</v>
      </c>
      <c r="AU37" s="226">
        <v>0</v>
      </c>
      <c r="AV37" s="226">
        <v>67215</v>
      </c>
      <c r="AW37" s="296"/>
    </row>
    <row r="38" spans="1:49" x14ac:dyDescent="0.2">
      <c r="B38" s="239" t="s">
        <v>254</v>
      </c>
      <c r="C38" s="203" t="s">
        <v>16</v>
      </c>
      <c r="D38" s="216">
        <v>37719</v>
      </c>
      <c r="E38" s="217">
        <v>37719.160000000003</v>
      </c>
      <c r="F38" s="217"/>
      <c r="G38" s="217"/>
      <c r="H38" s="217"/>
      <c r="I38" s="216"/>
      <c r="J38" s="216">
        <v>20410</v>
      </c>
      <c r="K38" s="217">
        <v>17762.394150767213</v>
      </c>
      <c r="L38" s="217"/>
      <c r="M38" s="217"/>
      <c r="N38" s="217"/>
      <c r="O38" s="216"/>
      <c r="P38" s="216">
        <v>74412</v>
      </c>
      <c r="Q38" s="217">
        <v>62026.155849232789</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4</v>
      </c>
      <c r="AU38" s="220">
        <v>0</v>
      </c>
      <c r="AV38" s="220">
        <v>73818</v>
      </c>
      <c r="AW38" s="297"/>
    </row>
    <row r="39" spans="1:49" x14ac:dyDescent="0.2">
      <c r="B39" s="242" t="s">
        <v>255</v>
      </c>
      <c r="C39" s="203" t="s">
        <v>17</v>
      </c>
      <c r="D39" s="216">
        <v>26728</v>
      </c>
      <c r="E39" s="217">
        <v>26727.77</v>
      </c>
      <c r="F39" s="217"/>
      <c r="G39" s="217"/>
      <c r="H39" s="217"/>
      <c r="I39" s="216"/>
      <c r="J39" s="216">
        <v>30375</v>
      </c>
      <c r="K39" s="217">
        <v>26179.993083560636</v>
      </c>
      <c r="L39" s="217"/>
      <c r="M39" s="217"/>
      <c r="N39" s="217"/>
      <c r="O39" s="216"/>
      <c r="P39" s="216">
        <v>23355</v>
      </c>
      <c r="Q39" s="217">
        <v>21164.936916439365</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1844</v>
      </c>
      <c r="AU39" s="220">
        <v>0</v>
      </c>
      <c r="AV39" s="220">
        <v>14077</v>
      </c>
      <c r="AW39" s="297"/>
    </row>
    <row r="40" spans="1:49" x14ac:dyDescent="0.2">
      <c r="B40" s="242" t="s">
        <v>256</v>
      </c>
      <c r="C40" s="203" t="s">
        <v>38</v>
      </c>
      <c r="D40" s="216">
        <v>94580</v>
      </c>
      <c r="E40" s="217">
        <v>94579.96</v>
      </c>
      <c r="F40" s="217"/>
      <c r="G40" s="217"/>
      <c r="H40" s="217"/>
      <c r="I40" s="216"/>
      <c r="J40" s="216">
        <v>209662</v>
      </c>
      <c r="K40" s="217">
        <v>183502.10604303857</v>
      </c>
      <c r="L40" s="217"/>
      <c r="M40" s="217"/>
      <c r="N40" s="217"/>
      <c r="O40" s="216"/>
      <c r="P40" s="216">
        <v>122082</v>
      </c>
      <c r="Q40" s="217">
        <v>113905.65395696144</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57450</v>
      </c>
      <c r="AU40" s="220">
        <v>0</v>
      </c>
      <c r="AV40" s="220">
        <v>80271</v>
      </c>
      <c r="AW40" s="297"/>
    </row>
    <row r="41" spans="1:49" s="5" customFormat="1" ht="25.5" x14ac:dyDescent="0.2">
      <c r="A41" s="35"/>
      <c r="B41" s="242" t="s">
        <v>257</v>
      </c>
      <c r="C41" s="203" t="s">
        <v>129</v>
      </c>
      <c r="D41" s="216">
        <v>26710</v>
      </c>
      <c r="E41" s="217">
        <v>26709.95</v>
      </c>
      <c r="F41" s="217"/>
      <c r="G41" s="217"/>
      <c r="H41" s="217"/>
      <c r="I41" s="216"/>
      <c r="J41" s="216">
        <v>46986</v>
      </c>
      <c r="K41" s="217">
        <v>29024.596036627248</v>
      </c>
      <c r="L41" s="217"/>
      <c r="M41" s="217"/>
      <c r="N41" s="217"/>
      <c r="O41" s="216"/>
      <c r="P41" s="216">
        <v>20117</v>
      </c>
      <c r="Q41" s="217">
        <v>12163.213963372753</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35015</v>
      </c>
      <c r="AU41" s="220">
        <v>0</v>
      </c>
      <c r="AV41" s="220">
        <v>4426</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166319</v>
      </c>
      <c r="E44" s="225">
        <v>166318.97</v>
      </c>
      <c r="F44" s="225"/>
      <c r="G44" s="225"/>
      <c r="H44" s="225"/>
      <c r="I44" s="224"/>
      <c r="J44" s="224">
        <v>296754</v>
      </c>
      <c r="K44" s="225">
        <v>215853.96339508941</v>
      </c>
      <c r="L44" s="225"/>
      <c r="M44" s="225"/>
      <c r="N44" s="225"/>
      <c r="O44" s="224"/>
      <c r="P44" s="224">
        <v>138421</v>
      </c>
      <c r="Q44" s="225">
        <v>102940.6966049106</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93521</v>
      </c>
      <c r="AU44" s="226">
        <v>0</v>
      </c>
      <c r="AV44" s="226">
        <v>75081</v>
      </c>
      <c r="AW44" s="296"/>
    </row>
    <row r="45" spans="1:49" x14ac:dyDescent="0.2">
      <c r="B45" s="245" t="s">
        <v>261</v>
      </c>
      <c r="C45" s="203" t="s">
        <v>19</v>
      </c>
      <c r="D45" s="216">
        <v>189791</v>
      </c>
      <c r="E45" s="217">
        <v>189791.34</v>
      </c>
      <c r="F45" s="217"/>
      <c r="G45" s="217"/>
      <c r="H45" s="217"/>
      <c r="I45" s="216"/>
      <c r="J45" s="216">
        <v>172938</v>
      </c>
      <c r="K45" s="217">
        <v>118333.21246434968</v>
      </c>
      <c r="L45" s="217"/>
      <c r="M45" s="217"/>
      <c r="N45" s="217"/>
      <c r="O45" s="216"/>
      <c r="P45" s="216">
        <v>69904</v>
      </c>
      <c r="Q45" s="217">
        <v>48033.607535650328</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164046</v>
      </c>
      <c r="AU45" s="220">
        <v>0</v>
      </c>
      <c r="AV45" s="220">
        <v>16711</v>
      </c>
      <c r="AW45" s="297"/>
    </row>
    <row r="46" spans="1:49" x14ac:dyDescent="0.2">
      <c r="B46" s="245" t="s">
        <v>262</v>
      </c>
      <c r="C46" s="203" t="s">
        <v>20</v>
      </c>
      <c r="D46" s="216">
        <v>62551</v>
      </c>
      <c r="E46" s="217">
        <v>62550.6</v>
      </c>
      <c r="F46" s="217"/>
      <c r="G46" s="217"/>
      <c r="H46" s="217"/>
      <c r="I46" s="216"/>
      <c r="J46" s="216">
        <v>148686</v>
      </c>
      <c r="K46" s="217">
        <v>89288.091235799293</v>
      </c>
      <c r="L46" s="217"/>
      <c r="M46" s="217"/>
      <c r="N46" s="217"/>
      <c r="O46" s="216"/>
      <c r="P46" s="216">
        <v>74872</v>
      </c>
      <c r="Q46" s="217">
        <v>40216.038764200712</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125611</v>
      </c>
      <c r="AU46" s="220">
        <v>0</v>
      </c>
      <c r="AV46" s="220">
        <v>112952</v>
      </c>
      <c r="AW46" s="297"/>
    </row>
    <row r="47" spans="1:49" x14ac:dyDescent="0.2">
      <c r="B47" s="245" t="s">
        <v>263</v>
      </c>
      <c r="C47" s="203" t="s">
        <v>21</v>
      </c>
      <c r="D47" s="216">
        <v>690317</v>
      </c>
      <c r="E47" s="217">
        <v>690316.65</v>
      </c>
      <c r="F47" s="217"/>
      <c r="G47" s="217"/>
      <c r="H47" s="217"/>
      <c r="I47" s="216"/>
      <c r="J47" s="216">
        <v>1050474</v>
      </c>
      <c r="K47" s="217">
        <v>981803.50798114354</v>
      </c>
      <c r="L47" s="217"/>
      <c r="M47" s="217"/>
      <c r="N47" s="217"/>
      <c r="O47" s="216"/>
      <c r="P47" s="216">
        <v>361761</v>
      </c>
      <c r="Q47" s="217">
        <v>417299.93201885646</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2612620</v>
      </c>
      <c r="AU47" s="220">
        <v>0</v>
      </c>
      <c r="AV47" s="220">
        <v>51869</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-37176.28</v>
      </c>
      <c r="E49" s="217">
        <v>-37176.28</v>
      </c>
      <c r="F49" s="217"/>
      <c r="G49" s="217"/>
      <c r="H49" s="217"/>
      <c r="I49" s="216"/>
      <c r="J49" s="216">
        <v>36847.69</v>
      </c>
      <c r="K49" s="217">
        <v>25065.767989771037</v>
      </c>
      <c r="L49" s="217"/>
      <c r="M49" s="217"/>
      <c r="N49" s="217"/>
      <c r="O49" s="216"/>
      <c r="P49" s="216">
        <v>542.12</v>
      </c>
      <c r="Q49" s="217">
        <v>4185.9220102289628</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22810.639999999999</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1385736</v>
      </c>
      <c r="E51" s="217">
        <v>1385736</v>
      </c>
      <c r="F51" s="217"/>
      <c r="G51" s="217"/>
      <c r="H51" s="217"/>
      <c r="I51" s="216"/>
      <c r="J51" s="216">
        <v>1862940</v>
      </c>
      <c r="K51" s="217">
        <v>1147586.1844416927</v>
      </c>
      <c r="L51" s="217"/>
      <c r="M51" s="217"/>
      <c r="N51" s="217"/>
      <c r="O51" s="216"/>
      <c r="P51" s="216">
        <v>831606</v>
      </c>
      <c r="Q51" s="217">
        <v>485052.44555830734</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664554</v>
      </c>
      <c r="AU51" s="220">
        <v>0</v>
      </c>
      <c r="AV51" s="220">
        <v>422686</v>
      </c>
      <c r="AW51" s="297"/>
    </row>
    <row r="52" spans="2:49" ht="25.5" x14ac:dyDescent="0.2">
      <c r="B52" s="239" t="s">
        <v>267</v>
      </c>
      <c r="C52" s="203" t="s">
        <v>89</v>
      </c>
      <c r="D52" s="216">
        <v>0</v>
      </c>
      <c r="E52" s="217"/>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2405</v>
      </c>
      <c r="E56" s="229">
        <v>2405</v>
      </c>
      <c r="F56" s="229"/>
      <c r="G56" s="229"/>
      <c r="H56" s="229"/>
      <c r="I56" s="228"/>
      <c r="J56" s="228">
        <v>9731</v>
      </c>
      <c r="K56" s="229">
        <v>2617</v>
      </c>
      <c r="L56" s="229"/>
      <c r="M56" s="229"/>
      <c r="N56" s="229"/>
      <c r="O56" s="228"/>
      <c r="P56" s="228">
        <v>5369</v>
      </c>
      <c r="Q56" s="229">
        <v>934</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34220</v>
      </c>
      <c r="AU56" s="230">
        <v>0</v>
      </c>
      <c r="AV56" s="230">
        <v>250</v>
      </c>
      <c r="AW56" s="288"/>
    </row>
    <row r="57" spans="2:49" x14ac:dyDescent="0.2">
      <c r="B57" s="245" t="s">
        <v>272</v>
      </c>
      <c r="C57" s="203" t="s">
        <v>25</v>
      </c>
      <c r="D57" s="231">
        <v>4111</v>
      </c>
      <c r="E57" s="232">
        <v>4111</v>
      </c>
      <c r="F57" s="232"/>
      <c r="G57" s="232"/>
      <c r="H57" s="232"/>
      <c r="I57" s="231"/>
      <c r="J57" s="231">
        <v>16039</v>
      </c>
      <c r="K57" s="232">
        <v>3985</v>
      </c>
      <c r="L57" s="232"/>
      <c r="M57" s="232"/>
      <c r="N57" s="232"/>
      <c r="O57" s="231"/>
      <c r="P57" s="231">
        <v>9038</v>
      </c>
      <c r="Q57" s="232">
        <v>1761</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56917</v>
      </c>
      <c r="AU57" s="233">
        <v>0</v>
      </c>
      <c r="AV57" s="233">
        <v>608</v>
      </c>
      <c r="AW57" s="289"/>
    </row>
    <row r="58" spans="2:49" x14ac:dyDescent="0.2">
      <c r="B58" s="245" t="s">
        <v>273</v>
      </c>
      <c r="C58" s="203" t="s">
        <v>26</v>
      </c>
      <c r="D58" s="309"/>
      <c r="E58" s="310"/>
      <c r="F58" s="310"/>
      <c r="G58" s="310"/>
      <c r="H58" s="310"/>
      <c r="I58" s="309"/>
      <c r="J58" s="231">
        <v>352</v>
      </c>
      <c r="K58" s="232">
        <v>352</v>
      </c>
      <c r="L58" s="232"/>
      <c r="M58" s="232"/>
      <c r="N58" s="232"/>
      <c r="O58" s="231"/>
      <c r="P58" s="231">
        <v>24</v>
      </c>
      <c r="Q58" s="232">
        <v>24</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1357</v>
      </c>
      <c r="AU58" s="233">
        <v>0</v>
      </c>
      <c r="AV58" s="233">
        <v>4</v>
      </c>
      <c r="AW58" s="289"/>
    </row>
    <row r="59" spans="2:49" x14ac:dyDescent="0.2">
      <c r="B59" s="245" t="s">
        <v>274</v>
      </c>
      <c r="C59" s="203" t="s">
        <v>27</v>
      </c>
      <c r="D59" s="231">
        <v>54719</v>
      </c>
      <c r="E59" s="232">
        <v>54591</v>
      </c>
      <c r="F59" s="232"/>
      <c r="G59" s="232"/>
      <c r="H59" s="232"/>
      <c r="I59" s="231"/>
      <c r="J59" s="231">
        <v>197748</v>
      </c>
      <c r="K59" s="232">
        <v>53171</v>
      </c>
      <c r="L59" s="232"/>
      <c r="M59" s="232"/>
      <c r="N59" s="232"/>
      <c r="O59" s="231"/>
      <c r="P59" s="231">
        <v>103941</v>
      </c>
      <c r="Q59" s="232">
        <v>22921</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669961</v>
      </c>
      <c r="AU59" s="233">
        <v>0</v>
      </c>
      <c r="AV59" s="233">
        <v>7265</v>
      </c>
      <c r="AW59" s="289"/>
    </row>
    <row r="60" spans="2:49" x14ac:dyDescent="0.2">
      <c r="B60" s="245" t="s">
        <v>275</v>
      </c>
      <c r="C60" s="203"/>
      <c r="D60" s="234">
        <f t="shared" ref="D60:AC60" si="0">D$59/12</f>
        <v>4559.916666666667</v>
      </c>
      <c r="E60" s="235">
        <f t="shared" si="0"/>
        <v>4549.25</v>
      </c>
      <c r="F60" s="235">
        <f t="shared" si="0"/>
        <v>0</v>
      </c>
      <c r="G60" s="235">
        <f t="shared" si="0"/>
        <v>0</v>
      </c>
      <c r="H60" s="235">
        <f t="shared" si="0"/>
        <v>0</v>
      </c>
      <c r="I60" s="234">
        <f t="shared" si="0"/>
        <v>0</v>
      </c>
      <c r="J60" s="234">
        <f t="shared" si="0"/>
        <v>16479</v>
      </c>
      <c r="K60" s="235">
        <f t="shared" si="0"/>
        <v>4430.916666666667</v>
      </c>
      <c r="L60" s="235">
        <f t="shared" si="0"/>
        <v>0</v>
      </c>
      <c r="M60" s="235">
        <f t="shared" si="0"/>
        <v>0</v>
      </c>
      <c r="N60" s="235">
        <f t="shared" si="0"/>
        <v>0</v>
      </c>
      <c r="O60" s="234">
        <f t="shared" si="0"/>
        <v>0</v>
      </c>
      <c r="P60" s="234">
        <f t="shared" si="0"/>
        <v>8661.75</v>
      </c>
      <c r="Q60" s="235">
        <f t="shared" si="0"/>
        <v>1910.0833333333333</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55830.083333333336</v>
      </c>
      <c r="AU60" s="236">
        <f>AU$59/12</f>
        <v>0</v>
      </c>
      <c r="AV60" s="236">
        <f>AV$59/12</f>
        <v>605.41666666666663</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16233096</v>
      </c>
      <c r="E5" s="326">
        <v>15798846</v>
      </c>
      <c r="F5" s="326"/>
      <c r="G5" s="328"/>
      <c r="H5" s="328"/>
      <c r="I5" s="325"/>
      <c r="J5" s="325">
        <v>31109463</v>
      </c>
      <c r="K5" s="326">
        <v>20201523.705012601</v>
      </c>
      <c r="L5" s="326"/>
      <c r="M5" s="326"/>
      <c r="N5" s="326"/>
      <c r="O5" s="325"/>
      <c r="P5" s="325">
        <v>12230267</v>
      </c>
      <c r="Q5" s="326">
        <v>8019816.2168691</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19089401</v>
      </c>
      <c r="AU5" s="327">
        <v>0</v>
      </c>
      <c r="AV5" s="369"/>
      <c r="AW5" s="373"/>
    </row>
    <row r="6" spans="2:49" x14ac:dyDescent="0.2">
      <c r="B6" s="343" t="s">
        <v>278</v>
      </c>
      <c r="C6" s="331" t="s">
        <v>8</v>
      </c>
      <c r="D6" s="318">
        <v>109480</v>
      </c>
      <c r="E6" s="319"/>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85919</v>
      </c>
      <c r="AU6" s="321">
        <v>0</v>
      </c>
      <c r="AV6" s="368"/>
      <c r="AW6" s="374"/>
    </row>
    <row r="7" spans="2:49" x14ac:dyDescent="0.2">
      <c r="B7" s="343" t="s">
        <v>279</v>
      </c>
      <c r="C7" s="331" t="s">
        <v>9</v>
      </c>
      <c r="D7" s="318">
        <v>104097</v>
      </c>
      <c r="E7" s="319"/>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89006</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1363232</v>
      </c>
      <c r="E9" s="362"/>
      <c r="F9" s="362"/>
      <c r="G9" s="362"/>
      <c r="H9" s="362"/>
      <c r="I9" s="364"/>
      <c r="J9" s="318">
        <v>1497640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688696</v>
      </c>
      <c r="E11" s="319"/>
      <c r="F11" s="319"/>
      <c r="G11" s="319"/>
      <c r="H11" s="319"/>
      <c r="I11" s="318"/>
      <c r="J11" s="318">
        <v>302789</v>
      </c>
      <c r="K11" s="319"/>
      <c r="L11" s="319"/>
      <c r="M11" s="319"/>
      <c r="N11" s="319"/>
      <c r="O11" s="318"/>
      <c r="P11" s="318">
        <v>3</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612989</v>
      </c>
      <c r="E12" s="363"/>
      <c r="F12" s="363"/>
      <c r="G12" s="363"/>
      <c r="H12" s="363"/>
      <c r="I12" s="365"/>
      <c r="J12" s="318">
        <v>1927121</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v>1777515.02</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487584.04</v>
      </c>
      <c r="F16" s="319"/>
      <c r="G16" s="319"/>
      <c r="H16" s="319"/>
      <c r="I16" s="318"/>
      <c r="J16" s="318"/>
      <c r="K16" s="319">
        <v>825281.63</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4947</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19177201</v>
      </c>
      <c r="E23" s="362"/>
      <c r="F23" s="362"/>
      <c r="G23" s="362"/>
      <c r="H23" s="362"/>
      <c r="I23" s="364"/>
      <c r="J23" s="318">
        <v>21847530</v>
      </c>
      <c r="K23" s="362"/>
      <c r="L23" s="362"/>
      <c r="M23" s="362"/>
      <c r="N23" s="362"/>
      <c r="O23" s="364"/>
      <c r="P23" s="318">
        <v>9794557</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9958344</v>
      </c>
      <c r="AU23" s="321">
        <v>0</v>
      </c>
      <c r="AV23" s="368"/>
      <c r="AW23" s="374"/>
    </row>
    <row r="24" spans="2:49" ht="28.5" customHeight="1" x14ac:dyDescent="0.2">
      <c r="B24" s="345" t="s">
        <v>114</v>
      </c>
      <c r="C24" s="331"/>
      <c r="D24" s="365"/>
      <c r="E24" s="319">
        <v>17044052.280000001</v>
      </c>
      <c r="F24" s="319"/>
      <c r="G24" s="319"/>
      <c r="H24" s="319"/>
      <c r="I24" s="318"/>
      <c r="J24" s="365"/>
      <c r="K24" s="319">
        <v>13682843.76</v>
      </c>
      <c r="L24" s="319"/>
      <c r="M24" s="319"/>
      <c r="N24" s="319"/>
      <c r="O24" s="318"/>
      <c r="P24" s="365"/>
      <c r="Q24" s="319">
        <v>6029322.8700000001</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1998980</v>
      </c>
      <c r="E26" s="362"/>
      <c r="F26" s="362"/>
      <c r="G26" s="362"/>
      <c r="H26" s="362"/>
      <c r="I26" s="364"/>
      <c r="J26" s="318">
        <v>4045774</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1367747</v>
      </c>
      <c r="AU26" s="321">
        <v>0</v>
      </c>
      <c r="AV26" s="368"/>
      <c r="AW26" s="374"/>
    </row>
    <row r="27" spans="2:49" s="5" customFormat="1" ht="25.5" x14ac:dyDescent="0.2">
      <c r="B27" s="345" t="s">
        <v>85</v>
      </c>
      <c r="C27" s="331"/>
      <c r="D27" s="365"/>
      <c r="E27" s="319">
        <v>264479.84250000014</v>
      </c>
      <c r="F27" s="319"/>
      <c r="G27" s="319"/>
      <c r="H27" s="319"/>
      <c r="I27" s="318"/>
      <c r="J27" s="365"/>
      <c r="K27" s="319">
        <v>246988.34881737293</v>
      </c>
      <c r="L27" s="319"/>
      <c r="M27" s="319"/>
      <c r="N27" s="319"/>
      <c r="O27" s="318"/>
      <c r="P27" s="365"/>
      <c r="Q27" s="319">
        <v>87416.929382626884</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3129465</v>
      </c>
      <c r="E28" s="363"/>
      <c r="F28" s="363"/>
      <c r="G28" s="363"/>
      <c r="H28" s="363"/>
      <c r="I28" s="365"/>
      <c r="J28" s="318">
        <v>2516655</v>
      </c>
      <c r="K28" s="363"/>
      <c r="L28" s="363"/>
      <c r="M28" s="363"/>
      <c r="N28" s="363"/>
      <c r="O28" s="365"/>
      <c r="P28" s="318">
        <v>1268871</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-313218</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31945</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55960</v>
      </c>
      <c r="AU30" s="321">
        <v>0</v>
      </c>
      <c r="AV30" s="368"/>
      <c r="AW30" s="374"/>
    </row>
    <row r="31" spans="2:49" s="5" customFormat="1" ht="25.5" x14ac:dyDescent="0.2">
      <c r="B31" s="345" t="s">
        <v>84</v>
      </c>
      <c r="C31" s="331"/>
      <c r="D31" s="365"/>
      <c r="E31" s="319"/>
      <c r="F31" s="319"/>
      <c r="G31" s="319"/>
      <c r="H31" s="319"/>
      <c r="I31" s="318"/>
      <c r="J31" s="365"/>
      <c r="K31" s="319">
        <v>24463.02</v>
      </c>
      <c r="L31" s="319"/>
      <c r="M31" s="319"/>
      <c r="N31" s="319"/>
      <c r="O31" s="318"/>
      <c r="P31" s="365"/>
      <c r="Q31" s="319">
        <v>-102.44</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7482</v>
      </c>
      <c r="K32" s="363"/>
      <c r="L32" s="363"/>
      <c r="M32" s="363"/>
      <c r="N32" s="363"/>
      <c r="O32" s="365"/>
      <c r="P32" s="318">
        <v>102</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59972</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792709</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261338</v>
      </c>
      <c r="AU34" s="321">
        <v>0</v>
      </c>
      <c r="AV34" s="368"/>
      <c r="AW34" s="374"/>
    </row>
    <row r="35" spans="2:49" s="5" customFormat="1" x14ac:dyDescent="0.2">
      <c r="B35" s="345" t="s">
        <v>91</v>
      </c>
      <c r="C35" s="331"/>
      <c r="D35" s="365"/>
      <c r="E35" s="319">
        <v>792709.27</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5699388</v>
      </c>
      <c r="E36" s="319">
        <v>5699387.9800000004</v>
      </c>
      <c r="F36" s="319"/>
      <c r="G36" s="319"/>
      <c r="H36" s="319"/>
      <c r="I36" s="318"/>
      <c r="J36" s="318">
        <v>0</v>
      </c>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243207</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1363232</v>
      </c>
      <c r="E38" s="362"/>
      <c r="F38" s="362"/>
      <c r="G38" s="362"/>
      <c r="H38" s="362"/>
      <c r="I38" s="364"/>
      <c r="J38" s="318">
        <v>1497640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688696</v>
      </c>
      <c r="E41" s="362"/>
      <c r="F41" s="362"/>
      <c r="G41" s="362"/>
      <c r="H41" s="362"/>
      <c r="I41" s="364"/>
      <c r="J41" s="318">
        <v>302789</v>
      </c>
      <c r="K41" s="362"/>
      <c r="L41" s="362"/>
      <c r="M41" s="362"/>
      <c r="N41" s="362"/>
      <c r="O41" s="364"/>
      <c r="P41" s="318">
        <v>3</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612989</v>
      </c>
      <c r="E43" s="363"/>
      <c r="F43" s="363"/>
      <c r="G43" s="363"/>
      <c r="H43" s="363"/>
      <c r="I43" s="365"/>
      <c r="J43" s="318">
        <v>1927121</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101474</v>
      </c>
      <c r="E49" s="319">
        <v>279604.44</v>
      </c>
      <c r="F49" s="319"/>
      <c r="G49" s="319"/>
      <c r="H49" s="319"/>
      <c r="I49" s="318"/>
      <c r="J49" s="318">
        <v>167449</v>
      </c>
      <c r="K49" s="319">
        <v>364861.36596473801</v>
      </c>
      <c r="L49" s="319"/>
      <c r="M49" s="319"/>
      <c r="N49" s="319"/>
      <c r="O49" s="318"/>
      <c r="P49" s="318">
        <v>24716</v>
      </c>
      <c r="Q49" s="319">
        <v>232344.48403526202</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-49</v>
      </c>
      <c r="AU49" s="321">
        <v>0</v>
      </c>
      <c r="AV49" s="368"/>
      <c r="AW49" s="374"/>
    </row>
    <row r="50" spans="2:49" x14ac:dyDescent="0.2">
      <c r="B50" s="343" t="s">
        <v>119</v>
      </c>
      <c r="C50" s="331" t="s">
        <v>34</v>
      </c>
      <c r="D50" s="318">
        <v>78140</v>
      </c>
      <c r="E50" s="363"/>
      <c r="F50" s="363"/>
      <c r="G50" s="363"/>
      <c r="H50" s="363"/>
      <c r="I50" s="365"/>
      <c r="J50" s="318">
        <v>430577</v>
      </c>
      <c r="K50" s="363"/>
      <c r="L50" s="363"/>
      <c r="M50" s="363"/>
      <c r="N50" s="363"/>
      <c r="O50" s="365"/>
      <c r="P50" s="318">
        <v>39180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3</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c r="J53" s="318">
        <v>0</v>
      </c>
      <c r="K53" s="319">
        <v>29217.032087337688</v>
      </c>
      <c r="L53" s="319"/>
      <c r="M53" s="319"/>
      <c r="N53" s="319"/>
      <c r="O53" s="318"/>
      <c r="P53" s="318">
        <v>0</v>
      </c>
      <c r="Q53" s="319">
        <v>44985.439540350199</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14555642</v>
      </c>
      <c r="E54" s="323">
        <f>E24+E27+E31+E35-E36+E39+E42+E45+E46-E49+E51+E52+E53</f>
        <v>12122248.972500002</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23537548</v>
      </c>
      <c r="K54" s="323">
        <f>K24+K27+K31+K35-K36+K39+K42+K45+K46-K49+K51+K52+K53</f>
        <v>13618650.794939971</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8540051</v>
      </c>
      <c r="Q54" s="323">
        <f>Q24+Q27+Q31+Q35-Q36+Q39+Q42+Q45+Q46-Q49+Q51+Q52+Q53</f>
        <v>5929278.3148877146</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11653480</v>
      </c>
      <c r="AU54" s="324">
        <f>AU23+AU26-AU28+AU30-AU32+AU34-AU36+AU38+AU41-AU43+AU45+AU46-AU47-AU49+AU50+AU51+AU52+AU53</f>
        <v>0</v>
      </c>
      <c r="AV54" s="368"/>
      <c r="AW54" s="374"/>
    </row>
    <row r="55" spans="2:49" ht="25.5" x14ac:dyDescent="0.2">
      <c r="B55" s="348" t="s">
        <v>493</v>
      </c>
      <c r="C55" s="335" t="s">
        <v>28</v>
      </c>
      <c r="D55" s="322">
        <f t="shared" ref="D55:AC55" si="0">MIN(MAX(0,D56),MAX(0,D57))</f>
        <v>26497.119999999999</v>
      </c>
      <c r="E55" s="323">
        <f t="shared" si="0"/>
        <v>26497.119999999999</v>
      </c>
      <c r="F55" s="323">
        <f t="shared" si="0"/>
        <v>0</v>
      </c>
      <c r="G55" s="323">
        <f t="shared" si="0"/>
        <v>0</v>
      </c>
      <c r="H55" s="323">
        <f t="shared" si="0"/>
        <v>0</v>
      </c>
      <c r="I55" s="322">
        <f t="shared" si="0"/>
        <v>0</v>
      </c>
      <c r="J55" s="322">
        <f t="shared" si="0"/>
        <v>46330.82</v>
      </c>
      <c r="K55" s="323">
        <f t="shared" si="0"/>
        <v>28464.28927813912</v>
      </c>
      <c r="L55" s="323">
        <f t="shared" si="0"/>
        <v>0</v>
      </c>
      <c r="M55" s="323">
        <f t="shared" si="0"/>
        <v>0</v>
      </c>
      <c r="N55" s="323">
        <f t="shared" si="0"/>
        <v>0</v>
      </c>
      <c r="O55" s="322">
        <f t="shared" si="0"/>
        <v>0</v>
      </c>
      <c r="P55" s="322">
        <f t="shared" si="0"/>
        <v>20344.439999999999</v>
      </c>
      <c r="Q55" s="323">
        <f t="shared" si="0"/>
        <v>12059.97072186088</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v>26497.119999999999</v>
      </c>
      <c r="E56" s="319">
        <v>26497.119999999999</v>
      </c>
      <c r="F56" s="319"/>
      <c r="G56" s="319"/>
      <c r="H56" s="319"/>
      <c r="I56" s="318"/>
      <c r="J56" s="318">
        <v>46330.82</v>
      </c>
      <c r="K56" s="319">
        <v>28464.28927813912</v>
      </c>
      <c r="L56" s="319"/>
      <c r="M56" s="319"/>
      <c r="N56" s="319"/>
      <c r="O56" s="318"/>
      <c r="P56" s="318">
        <v>20344.439999999999</v>
      </c>
      <c r="Q56" s="319">
        <v>12059.97072186088</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54867</v>
      </c>
      <c r="E57" s="319">
        <v>54866.52</v>
      </c>
      <c r="F57" s="319"/>
      <c r="G57" s="319"/>
      <c r="H57" s="319"/>
      <c r="I57" s="318"/>
      <c r="J57" s="318">
        <v>59179</v>
      </c>
      <c r="K57" s="319">
        <v>39687.919999999998</v>
      </c>
      <c r="L57" s="319"/>
      <c r="M57" s="319"/>
      <c r="N57" s="319"/>
      <c r="O57" s="318"/>
      <c r="P57" s="318">
        <v>80848</v>
      </c>
      <c r="Q57" s="319">
        <v>77521.88</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27169</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21800817.309999999</v>
      </c>
      <c r="D5" s="403">
        <v>27154512.829999998</v>
      </c>
      <c r="E5" s="454"/>
      <c r="F5" s="454"/>
      <c r="G5" s="448"/>
      <c r="H5" s="402">
        <v>19016005.120000001</v>
      </c>
      <c r="I5" s="403">
        <v>17604173.059999999</v>
      </c>
      <c r="J5" s="454"/>
      <c r="K5" s="454"/>
      <c r="L5" s="448"/>
      <c r="M5" s="402">
        <v>11952298.59</v>
      </c>
      <c r="N5" s="403">
        <v>5425486.3099999996</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21704806.137499999</v>
      </c>
      <c r="D6" s="398">
        <v>26683487.057</v>
      </c>
      <c r="E6" s="400">
        <f>SUM('Pt 1 Summary of Data'!E$12,'Pt 1 Summary of Data'!E$22)+SUM('Pt 1 Summary of Data'!G$12,'Pt 1 Summary of Data'!G$22)-SUM('Pt 1 Summary of Data'!H$12,'Pt 1 Summary of Data'!H$22)</f>
        <v>12148746.092500001</v>
      </c>
      <c r="F6" s="400">
        <f t="shared" ref="F6:F11" si="0">SUM(C6:E6)</f>
        <v>60537039.287</v>
      </c>
      <c r="G6" s="401">
        <f>SUM('Pt 1 Summary of Data'!I$12,'Pt 1 Summary of Data'!I$22)</f>
        <v>0</v>
      </c>
      <c r="H6" s="397">
        <v>19062740.897867106</v>
      </c>
      <c r="I6" s="398">
        <v>17640031.380716495</v>
      </c>
      <c r="J6" s="400">
        <f>SUM('Pt 1 Summary of Data'!K$12,'Pt 1 Summary of Data'!K$22)+SUM('Pt 1 Summary of Data'!M$12,'Pt 1 Summary of Data'!M$22)-SUM('Pt 1 Summary of Data'!N$12,'Pt 1 Summary of Data'!N$22)</f>
        <v>13647115.084218109</v>
      </c>
      <c r="K6" s="400">
        <f>SUM(H6:J6)</f>
        <v>50349887.362801708</v>
      </c>
      <c r="L6" s="401">
        <f>SUM('Pt 1 Summary of Data'!O$12,'Pt 1 Summary of Data'!O$22)</f>
        <v>0</v>
      </c>
      <c r="M6" s="397">
        <v>11934960.048494691</v>
      </c>
      <c r="N6" s="398">
        <v>5478470.4319260027</v>
      </c>
      <c r="O6" s="400">
        <f>SUM('Pt 1 Summary of Data'!Q$12,'Pt 1 Summary of Data'!Q$22)+SUM('Pt 1 Summary of Data'!S$12,'Pt 1 Summary of Data'!S$22)-SUM('Pt 1 Summary of Data'!T$12,'Pt 1 Summary of Data'!T$22)</f>
        <v>5941338.285609575</v>
      </c>
      <c r="P6" s="400">
        <f>SUM(M6:O6)</f>
        <v>23354768.766030267</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v>764379.05</v>
      </c>
      <c r="D7" s="398">
        <v>588613.6</v>
      </c>
      <c r="E7" s="400">
        <f>SUM('Pt 1 Summary of Data'!E$37:E$41)+SUM('Pt 1 Summary of Data'!G$37:G$41)-SUM('Pt 1 Summary of Data'!H$37:H$41)+MAX(0,MIN('Pt 1 Summary of Data'!E$42+'Pt 1 Summary of Data'!G$42-'Pt 1 Summary of Data'!H$42,0.3%*('Pt 1 Summary of Data'!E$5+'Pt 1 Summary of Data'!G$5-'Pt 1 Summary of Data'!H$5-SUM(E$9:E$11))))</f>
        <v>253340.11000000004</v>
      </c>
      <c r="F7" s="400">
        <f t="shared" si="0"/>
        <v>1606332.76</v>
      </c>
      <c r="G7" s="401">
        <f>SUM('Pt 1 Summary of Data'!I$37:I$41)+MAX(0,MIN(VALUE('Pt 1 Summary of Data'!I$42),0.3%*('Pt 1 Summary of Data'!I$5-SUM(G$9:G$10))))</f>
        <v>0</v>
      </c>
      <c r="H7" s="397">
        <v>541731.21</v>
      </c>
      <c r="I7" s="398">
        <v>454126.31</v>
      </c>
      <c r="J7" s="400">
        <f>SUM('Pt 1 Summary of Data'!K$37:K$41)+SUM('Pt 1 Summary of Data'!M$37:M$41)-SUM('Pt 1 Summary of Data'!N$37:N$41)+MAX(0,MIN('Pt 1 Summary of Data'!K$42+'Pt 1 Summary of Data'!M$42-'Pt 1 Summary of Data'!N$42,0.3%*('Pt 1 Summary of Data'!K$5+'Pt 1 Summary of Data'!M$5-'Pt 1 Summary of Data'!N$5-SUM(J$10:J$11))))</f>
        <v>294806.3268448587</v>
      </c>
      <c r="K7" s="400">
        <f>SUM(H7:J7)</f>
        <v>1290663.8468448587</v>
      </c>
      <c r="L7" s="401">
        <f>SUM('Pt 1 Summary of Data'!O$37:O$41)+MAX(0,MIN(VALUE('Pt 1 Summary of Data'!O$42),0.3%*('Pt 1 Summary of Data'!O$5-L$10)))</f>
        <v>0</v>
      </c>
      <c r="M7" s="397">
        <v>173588.59</v>
      </c>
      <c r="N7" s="398">
        <v>154318.01</v>
      </c>
      <c r="O7" s="400">
        <f>SUM('Pt 1 Summary of Data'!Q$37:Q$41)+SUM('Pt 1 Summary of Data'!S$37:S$41)-SUM('Pt 1 Summary of Data'!T$37:T$41)+MAX(0,MIN('Pt 1 Summary of Data'!Q$42+'Pt 1 Summary of Data'!S$42-'Pt 1 Summary of Data'!T$42,0.3%*('Pt 1 Summary of Data'!Q$5+'Pt 1 Summary of Data'!S$5-'Pt 1 Summary of Data'!T$5)))</f>
        <v>272188.79315514135</v>
      </c>
      <c r="P7" s="400">
        <f>SUM(M7:O7)</f>
        <v>600095.39315514127</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1328793.1000000001</v>
      </c>
      <c r="E9" s="400">
        <f>'Pt 2 Premium and Claims'!E$15+'Pt 2 Premium and Claims'!G$15-'Pt 2 Premium and Claims'!H$15</f>
        <v>1777515.02</v>
      </c>
      <c r="F9" s="400">
        <f t="shared" si="0"/>
        <v>3106308.12</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1164384.9099999999</v>
      </c>
      <c r="E10" s="400">
        <f>'Pt 2 Premium and Claims'!E$16+'Pt 2 Premium and Claims'!G$16-'Pt 2 Premium and Claims'!H$16</f>
        <v>487584.04</v>
      </c>
      <c r="F10" s="400">
        <f t="shared" si="0"/>
        <v>1651968.95</v>
      </c>
      <c r="G10" s="401">
        <f>'Pt 2 Premium and Claims'!I$16</f>
        <v>0</v>
      </c>
      <c r="H10" s="443"/>
      <c r="I10" s="398">
        <v>28372.97</v>
      </c>
      <c r="J10" s="400">
        <f>'Pt 2 Premium and Claims'!K$16+'Pt 2 Premium and Claims'!M$16-'Pt 2 Premium and Claims'!N$16</f>
        <v>825281.63</v>
      </c>
      <c r="K10" s="400">
        <f>SUM(H10:J10)</f>
        <v>853654.6</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22469185.1875</v>
      </c>
      <c r="D12" s="400">
        <f>SUM(D$6:D$7) - SUM(D$8:D$11)+IF(AND(OR('Company Information'!$C$12="District of Columbia",'Company Information'!$C$12="Massachusetts",'Company Information'!$C$12="Vermont"),SUM($C$6:$F$11,$C$15:$F$16,$C$38:$D$38)&lt;&gt;0),SUM(I$6:I$7) - SUM(I$10:I$11),0)</f>
        <v>24778922.647</v>
      </c>
      <c r="E12" s="400">
        <f>SUM(E$6:E$7)-SUM(E$8:E$11)+IF(AND(OR('Company Information'!$C$12="District of Columbia",'Company Information'!$C$12="Massachusetts",'Company Information'!$C$12="Vermont"),SUM($C$6:$F$11,$C$15:$F$16,$C$38:$D$38)&lt;&gt;0),SUM(J$6:J$7)-SUM(J$10:J$11),0)</f>
        <v>10136987.1425</v>
      </c>
      <c r="F12" s="400">
        <f>IFERROR(SUM(C$12:E$12)+C$17*MAX(0,E$50-C$50)+D$17*MAX(0,E$50-D$50),0)</f>
        <v>57385094.976999998</v>
      </c>
      <c r="G12" s="447"/>
      <c r="H12" s="399">
        <f>SUM(H$6:H$7)+IF(AND(OR('Company Information'!$C$12="District of Columbia",'Company Information'!$C$12="Massachusetts",'Company Information'!$C$12="Vermont"),SUM($H$6:$K$11,$H$15:$K$16,$H$38:$I$38)&lt;&gt;0),SUM(C$6:C$7),0)</f>
        <v>19604472.107867107</v>
      </c>
      <c r="I12" s="400">
        <f>SUM(I$6:I$7) - SUM(I$10:I$11)+IF(AND(OR('Company Information'!$C$12="District of Columbia",'Company Information'!$C$12="Massachusetts",'Company Information'!$C$12="Vermont"),SUM($H$6:$K$11,$H$15:$K$16,$H$38:$I$38)&lt;&gt;0),SUM(D$6:D$7) - SUM(D$8:D$11),0)</f>
        <v>18065784.720716495</v>
      </c>
      <c r="J12" s="400">
        <f>SUM(J$6:J$7)-SUM(J$10:J$11)+IF(AND(OR('Company Information'!$C$12="District of Columbia",'Company Information'!$C$12="Massachusetts",'Company Information'!$C$12="Vermont"),SUM($H$6:$K$11,$H$15:$K$16,$H$38:$I$38)&lt;&gt;0),SUM(E$6:E$7)-SUM(E$8:E$11),0)</f>
        <v>13116639.781062966</v>
      </c>
      <c r="K12" s="400">
        <f>IFERROR(SUM(H$12:J$12)+H$17*MAX(0,J$50-H$50)+I$17*MAX(0,J$50-I$50),0)</f>
        <v>50786896.609646566</v>
      </c>
      <c r="L12" s="447"/>
      <c r="M12" s="399">
        <f>SUM(M$6:M$7)</f>
        <v>12108548.638494691</v>
      </c>
      <c r="N12" s="400">
        <f>SUM(N$6:N$7)</f>
        <v>5632788.4419260025</v>
      </c>
      <c r="O12" s="400">
        <f>SUM(O$6:O$7)</f>
        <v>6213527.0787647162</v>
      </c>
      <c r="P12" s="400">
        <f>SUM(M$12:O$12)+M$17*MAX(0,O$50-M$50)+N$17*MAX(0,O$50-N$50)</f>
        <v>23954864.15918541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31711739.539999999</v>
      </c>
      <c r="D15" s="403">
        <v>32370889.510000002</v>
      </c>
      <c r="E15" s="395">
        <f>SUM('Pt 1 Summary of Data'!E$5:E$7)+SUM('Pt 1 Summary of Data'!G$5:G$7)-SUM('Pt 1 Summary of Data'!H$5:H$7)-SUM(E$9:E$11)</f>
        <v>15798618.67</v>
      </c>
      <c r="F15" s="395">
        <f>SUM(C15:E15)</f>
        <v>79881247.719999999</v>
      </c>
      <c r="G15" s="396">
        <f>SUM('Pt 1 Summary of Data'!I$5:I$7)-SUM(G$9:G$10)</f>
        <v>0</v>
      </c>
      <c r="H15" s="402">
        <v>27692315.170000002</v>
      </c>
      <c r="I15" s="403">
        <v>25857121.710000001</v>
      </c>
      <c r="J15" s="395">
        <f>SUM('Pt 1 Summary of Data'!K$5:K$7)+SUM('Pt 1 Summary of Data'!M$5:M$7)-SUM('Pt 1 Summary of Data'!N$5:N$7)-SUM(J$10:J$11)</f>
        <v>20201152.105012599</v>
      </c>
      <c r="K15" s="395">
        <f>SUM(H15:J15)</f>
        <v>73750588.985012606</v>
      </c>
      <c r="L15" s="396">
        <f>SUM('Pt 1 Summary of Data'!O$5:O$7)-L$10</f>
        <v>0</v>
      </c>
      <c r="M15" s="402">
        <v>7606894.1600000001</v>
      </c>
      <c r="N15" s="403">
        <v>6869227.1799999997</v>
      </c>
      <c r="O15" s="395">
        <f>SUM('Pt 1 Summary of Data'!Q$5:Q$7)+SUM('Pt 1 Summary of Data'!S$5:S$7)-SUM('Pt 1 Summary of Data'!T$5:T$7)+N$56</f>
        <v>8019498.7168691</v>
      </c>
      <c r="P15" s="395">
        <f>SUM(M15:O15)</f>
        <v>22495620.056869101</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v>1395381.24</v>
      </c>
      <c r="D16" s="398">
        <v>667797.74</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-121438.49257228945</v>
      </c>
      <c r="F16" s="400">
        <f>SUM(C16:E16)</f>
        <v>1941740.4874277106</v>
      </c>
      <c r="G16" s="401">
        <f>SUM('Pt 1 Summary of Data'!I$25:I$28,'Pt 1 Summary of Data'!I$30,'Pt 1 Summary of Data'!I$34:I$35)+IF('Company Information'!$C$15="No",IF(MAX('Pt 1 Summary of Data'!I$31:I$32)=0,MIN('Pt 1 Summary of Data'!I$31:I$32),MAX('Pt 1 Summary of Data'!I$31:I$32)),SUM('Pt 1 Summary of Data'!I$31:I$32))</f>
        <v>0</v>
      </c>
      <c r="H16" s="397">
        <v>948778.47</v>
      </c>
      <c r="I16" s="398">
        <v>2816526.38</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1903708.7593206638</v>
      </c>
      <c r="K16" s="400">
        <f>SUM(H16:J16)</f>
        <v>5669013.6093206629</v>
      </c>
      <c r="L16" s="401">
        <f>SUM('Pt 1 Summary of Data'!O$25:O$28,'Pt 1 Summary of Data'!O$30,'Pt 1 Summary of Data'!O$34:O$35)+IF('Company Information'!$C$15="No",IF(MAX('Pt 1 Summary of Data'!O$31:O$32)=0,MIN('Pt 1 Summary of Data'!O$31:O$32),MAX('Pt 1 Summary of Data'!O$31:O$32)),SUM('Pt 1 Summary of Data'!O$31:O$32))</f>
        <v>0</v>
      </c>
      <c r="M16" s="397">
        <v>520617.62</v>
      </c>
      <c r="N16" s="398">
        <v>143960.35</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486042.74719536037</v>
      </c>
      <c r="P16" s="400">
        <f>SUM(M16:O16)</f>
        <v>1150620.7171953605</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30316358.300000001</v>
      </c>
      <c r="D17" s="400">
        <f>D$15-D$16+IF(AND(OR('Company Information'!$C$12="District of Columbia",'Company Information'!$C$12="Massachusetts",'Company Information'!$C$12="Vermont"),SUM($C$6:$F$11,$C$15:$F$16,$C$38:$D$38)&lt;&gt;0),I$15-I$16,0)</f>
        <v>31703091.770000003</v>
      </c>
      <c r="E17" s="400">
        <f>E$15-E$16+IF(AND(OR('Company Information'!$C$12="District of Columbia",'Company Information'!$C$12="Massachusetts",'Company Information'!$C$12="Vermont"),SUM($C$6:$F$11,$C$15:$F$16,$C$38:$D$38)&lt;&gt;0),J$15-J$16,0)</f>
        <v>15920057.162572289</v>
      </c>
      <c r="F17" s="400">
        <f>F$15-F$16+IF(AND(OR('Company Information'!$C$12="District of Columbia",'Company Information'!$C$12="Massachusetts",'Company Information'!$C$12="Vermont"),SUM($C$6:$F$11,$C$15:$F$16,$C$38:$D$38)&lt;&gt;0),K$15-K$16,0)</f>
        <v>77939507.232572287</v>
      </c>
      <c r="G17" s="450"/>
      <c r="H17" s="399">
        <f>H$15-H$16+IF(AND(OR('Company Information'!$C$12="District of Columbia",'Company Information'!$C$12="Massachusetts",'Company Information'!$C$12="Vermont"),SUM($H$6:$K$11,$H$15:$K$16,$H$38:$I$38)&lt;&gt;0),C$15-C$16,0)</f>
        <v>26743536.700000003</v>
      </c>
      <c r="I17" s="400">
        <f>I$15-I$16+IF(AND(OR('Company Information'!$C$12="District of Columbia",'Company Information'!$C$12="Massachusetts",'Company Information'!$C$12="Vermont"),SUM($H$6:$K$11,$H$15:$K$16,$H$38:$I$38)&lt;&gt;0),D$15-D$16,0)</f>
        <v>23040595.330000002</v>
      </c>
      <c r="J17" s="400">
        <f>J$15-J$16+IF(AND(OR('Company Information'!$C$12="District of Columbia",'Company Information'!$C$12="Massachusetts",'Company Information'!$C$12="Vermont"),SUM($H$6:$K$11,$H$15:$K$16,$H$38:$I$38)&lt;&gt;0),E$15-E$16,0)</f>
        <v>18297443.345691934</v>
      </c>
      <c r="K17" s="400">
        <f>K$15-K$16+IF(AND(OR('Company Information'!$C$12="District of Columbia",'Company Information'!$C$12="Massachusetts",'Company Information'!$C$12="Vermont"),SUM($H$6:$K$11,$H$15:$K$16,$H$38:$I$38)&lt;&gt;0),F$15-F$16,0)</f>
        <v>68081575.37569195</v>
      </c>
      <c r="L17" s="450"/>
      <c r="M17" s="399">
        <f>M$15-M$16</f>
        <v>7086276.54</v>
      </c>
      <c r="N17" s="400">
        <f>N$15-N$16</f>
        <v>6725266.8300000001</v>
      </c>
      <c r="O17" s="400">
        <f>O$15-O$16</f>
        <v>7533455.9696737397</v>
      </c>
      <c r="P17" s="400">
        <f>P$15-P$16</f>
        <v>21344999.339673739</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15959</v>
      </c>
      <c r="D38" s="405">
        <v>15009.17</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4549.25</v>
      </c>
      <c r="F38" s="432">
        <f>SUM(C$38:E$38)+IF(AND(OR('Company Information'!$C$12="District of Columbia",'Company Information'!$C$12="Massachusetts",'Company Information'!$C$12="Vermont"),SUM($C$6:$F$11,$C$15:$F$16,$C$38:$D$38)&lt;&gt;0,SUM(C$38:D$38)&lt;&gt;SUM(H$38:I$38)),SUM(H$38:I$38),0)</f>
        <v>35517.42</v>
      </c>
      <c r="G38" s="448"/>
      <c r="H38" s="404">
        <v>6128</v>
      </c>
      <c r="I38" s="405">
        <v>5850.92</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4430.916666666667</v>
      </c>
      <c r="K38" s="432">
        <f>SUM(H$38:J$38)+IF(AND(OR('Company Information'!$C$12="District of Columbia",'Company Information'!$C$12="Massachusetts",'Company Information'!$C$12="Vermont"),SUM($H$6:$K$11,$H$15:$K$16,$H$38:$I$38)&lt;&gt;0,SUM(H$38:I$38)&lt;&gt;SUM(C$38:D$38)),SUM(C$38:D$38),0)</f>
        <v>16409.836666666666</v>
      </c>
      <c r="L38" s="448"/>
      <c r="M38" s="404">
        <v>1938</v>
      </c>
      <c r="N38" s="405">
        <v>1726.83</v>
      </c>
      <c r="O38" s="432">
        <f>('Pt 1 Summary of Data'!Q$59+'Pt 1 Summary of Data'!S$59-'Pt 1 Summary of Data'!T$59)/12</f>
        <v>1910.0833333333333</v>
      </c>
      <c r="P38" s="432">
        <f>SUM(M$38:O$38)</f>
        <v>5574.913333333333</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3.5735190666666666E-2</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8252</v>
      </c>
      <c r="G40" s="447"/>
      <c r="H40" s="443"/>
      <c r="I40" s="441"/>
      <c r="J40" s="441"/>
      <c r="K40" s="398">
        <v>2468</v>
      </c>
      <c r="L40" s="447"/>
      <c r="M40" s="443"/>
      <c r="N40" s="441"/>
      <c r="O40" s="441"/>
      <c r="P40" s="398">
        <v>2351</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1.6192336000000001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 ca="1">IF(OR(F$38&lt;1000,F$38&gt;=75000),0,F$39*F$41)</f>
        <v>0</v>
      </c>
      <c r="G42" s="447"/>
      <c r="H42" s="443"/>
      <c r="I42" s="441"/>
      <c r="J42" s="441"/>
      <c r="K42" s="436">
        <f ca="1">IF(OR(K$38&lt;1000,K$38&gt;=75000),0,K$39*K$41)</f>
        <v>0</v>
      </c>
      <c r="L42" s="447"/>
      <c r="M42" s="443"/>
      <c r="N42" s="441"/>
      <c r="O42" s="441"/>
      <c r="P42" s="436">
        <f ca="1">IF(OR(P$38&lt;1000,P$38&gt;=75000),0,P$39*P$41)</f>
        <v>3.5735190666666666E-2</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f>IF(OR(C$38&lt;1000,C$17&lt;=0),"",C$12/C$17)</f>
        <v>0.7411571325669416</v>
      </c>
      <c r="D45" s="436">
        <f>IF(OR(D$38&lt;1000,D$17&lt;=0),"",D$12/D$17)</f>
        <v>0.78159325364120469</v>
      </c>
      <c r="E45" s="436">
        <f>IF(OR(E$38&lt;1000,E$17&lt;=0),"",E$12/E$17)</f>
        <v>0.63674313722515008</v>
      </c>
      <c r="F45" s="436">
        <f>IF(OR(F$38&lt;1000,F$17&lt;=0),"",F$12/F$17)</f>
        <v>0.73627736451761605</v>
      </c>
      <c r="G45" s="447"/>
      <c r="H45" s="438">
        <f>IF(OR(H$38&lt;1000,H$17&lt;=0),"",H$12/H$17)</f>
        <v>0.73305458166522552</v>
      </c>
      <c r="I45" s="436">
        <f>IF(OR(I$38&lt;1000,I$17&lt;=0),"",I$12/I$17)</f>
        <v>0.78408497966169932</v>
      </c>
      <c r="J45" s="436">
        <f>IF(OR(J$38&lt;1000,J$17&lt;=0),"",J$12/J$17)</f>
        <v>0.71685642268438721</v>
      </c>
      <c r="K45" s="436">
        <f>IF(OR(K$38&lt;1000,K$17&lt;=0),"",K$12/K$17)</f>
        <v>0.74597123126765474</v>
      </c>
      <c r="L45" s="447"/>
      <c r="M45" s="438">
        <f>IF(OR(M$38&lt;1000,M$17&lt;=0),"",M$12/M$17)</f>
        <v>1.7087321628143362</v>
      </c>
      <c r="N45" s="436">
        <f>IF(OR(N$38&lt;1000,N$17&lt;=0),"",N$12/N$17)</f>
        <v>0.83755612740885144</v>
      </c>
      <c r="O45" s="436">
        <f>IF(OR(O$38&lt;1000,O$17&lt;=0),"",O$12/O$17)</f>
        <v>0.82479105257634</v>
      </c>
      <c r="P45" s="436">
        <f>IF(OR(P$38&lt;1000,P$17&lt;=0),"",P$12/P$17)</f>
        <v>1.1222705504919244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f ca="1">IF(F$45="","",F$42)</f>
        <v>0</v>
      </c>
      <c r="G47" s="447"/>
      <c r="H47" s="443"/>
      <c r="I47" s="441"/>
      <c r="J47" s="441"/>
      <c r="K47" s="436">
        <f ca="1">IF(K$45="","",K$42)</f>
        <v>0</v>
      </c>
      <c r="L47" s="447"/>
      <c r="M47" s="443"/>
      <c r="N47" s="441"/>
      <c r="O47" s="441"/>
      <c r="P47" s="436">
        <f ca="1">IF(P$45="","",P$42)</f>
        <v>3.5735190666666666E-2</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f ca="1">IF(F$45="","",ROUND(F$45+MAX(0,F$47),3))</f>
        <v>0.73599999999999999</v>
      </c>
      <c r="G48" s="447"/>
      <c r="H48" s="443"/>
      <c r="I48" s="441"/>
      <c r="J48" s="441"/>
      <c r="K48" s="436">
        <f ca="1">IF(K$45="","",ROUND(K$45+MAX(0,K$47),3))</f>
        <v>0.746</v>
      </c>
      <c r="L48" s="447"/>
      <c r="M48" s="443"/>
      <c r="N48" s="441"/>
      <c r="O48" s="441"/>
      <c r="P48" s="436">
        <f ca="1">IF(P$45="","",ROUND(P$45+MAX(0,P$47),3))</f>
        <v>1.1579999999999999</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f ca="1">F$48</f>
        <v>0.73599999999999999</v>
      </c>
      <c r="G51" s="447"/>
      <c r="H51" s="444"/>
      <c r="I51" s="442"/>
      <c r="J51" s="442"/>
      <c r="K51" s="436">
        <f ca="1">K$48</f>
        <v>0.746</v>
      </c>
      <c r="L51" s="447"/>
      <c r="M51" s="444"/>
      <c r="N51" s="442"/>
      <c r="O51" s="442"/>
      <c r="P51" s="436">
        <f ca="1">P$48</f>
        <v>1.1579999999999999</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f>IF(F$38&lt;1000,"",MAX(0,E$15-E$16))</f>
        <v>15920057.162572289</v>
      </c>
      <c r="G52" s="447"/>
      <c r="H52" s="443"/>
      <c r="I52" s="441"/>
      <c r="J52" s="441"/>
      <c r="K52" s="400">
        <f>IF(K$38&lt;1000,"",MAX(0,J$15-J$16))</f>
        <v>18297443.345691934</v>
      </c>
      <c r="L52" s="447"/>
      <c r="M52" s="443"/>
      <c r="N52" s="441"/>
      <c r="O52" s="441"/>
      <c r="P52" s="400">
        <f>IF(P$38&lt;1000,"",MAX(0,O$15-O$16))</f>
        <v>7533455.9696737397</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 ca="1">IF(OR(F$38&lt;1000,F$17&lt;=0),0,MAX(0,F$50-F$51)*F$52)</f>
        <v>1018883.6584046273</v>
      </c>
      <c r="G53" s="447"/>
      <c r="H53" s="443"/>
      <c r="I53" s="441"/>
      <c r="J53" s="441"/>
      <c r="K53" s="400">
        <f ca="1">IF(OR(K$38&lt;1000,K$17&lt;=0),0,MAX(0,K$50-K$51)*K$52)</f>
        <v>988061.94066736533</v>
      </c>
      <c r="L53" s="447"/>
      <c r="M53" s="443"/>
      <c r="N53" s="441"/>
      <c r="O53" s="441"/>
      <c r="P53" s="400">
        <f ca="1">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483717.02860000002</v>
      </c>
      <c r="D56" s="441"/>
      <c r="E56" s="441"/>
      <c r="F56" s="441"/>
      <c r="G56" s="447"/>
      <c r="H56" s="397">
        <v>174495.15359999999</v>
      </c>
      <c r="I56" s="441"/>
      <c r="J56" s="441"/>
      <c r="K56" s="441"/>
      <c r="L56" s="447"/>
      <c r="M56" s="397">
        <v>23751.156561200001</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21283.760300000002</v>
      </c>
      <c r="D57" s="441"/>
      <c r="E57" s="441"/>
      <c r="F57" s="441"/>
      <c r="G57" s="447"/>
      <c r="H57" s="397">
        <v>5978.2938549999999</v>
      </c>
      <c r="I57" s="441"/>
      <c r="J57" s="441"/>
      <c r="K57" s="441"/>
      <c r="L57" s="447"/>
      <c r="M57" s="397">
        <v>1625.4869209999999</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12" sqref="D1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2405</v>
      </c>
      <c r="D4" s="104">
        <f>'Pt 1 Summary of Data'!$K$56+'Pt 1 Summary of Data'!$M$56-'Pt 1 Summary of Data'!$N$56</f>
        <v>2617</v>
      </c>
      <c r="E4" s="104">
        <f>'Pt 1 Summary of Data'!$Q$56+'Pt 1 Summary of Data'!$S$56-'Pt 1 Summary of Data'!$T$56</f>
        <v>934</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449</v>
      </c>
      <c r="E6" s="100"/>
      <c r="F6" s="184"/>
      <c r="G6" s="100"/>
      <c r="H6" s="100"/>
      <c r="I6" s="184"/>
      <c r="J6" s="184"/>
      <c r="K6" s="189"/>
    </row>
    <row r="7" spans="2:11" x14ac:dyDescent="0.2">
      <c r="B7" s="116" t="s">
        <v>102</v>
      </c>
      <c r="C7" s="101">
        <v>3398</v>
      </c>
      <c r="D7" s="102">
        <v>37</v>
      </c>
      <c r="E7" s="102"/>
      <c r="F7" s="102"/>
      <c r="G7" s="102"/>
      <c r="H7" s="102"/>
      <c r="I7" s="190"/>
      <c r="J7" s="190"/>
      <c r="K7" s="193"/>
    </row>
    <row r="8" spans="2:11" x14ac:dyDescent="0.2">
      <c r="B8" s="116" t="s">
        <v>103</v>
      </c>
      <c r="C8" s="182"/>
      <c r="D8" s="102">
        <v>6</v>
      </c>
      <c r="E8" s="102"/>
      <c r="F8" s="185"/>
      <c r="G8" s="102"/>
      <c r="H8" s="102"/>
      <c r="I8" s="190"/>
      <c r="J8" s="190"/>
      <c r="K8" s="194"/>
    </row>
    <row r="9" spans="2:11" ht="13.15" customHeight="1" x14ac:dyDescent="0.2">
      <c r="B9" s="116" t="s">
        <v>104</v>
      </c>
      <c r="C9" s="101">
        <v>156</v>
      </c>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 ca="1">'Pt 3 MLR and Rebate Calculation'!$F$53</f>
        <v>1018883.6584046273</v>
      </c>
      <c r="D11" s="97">
        <f ca="1">'Pt 3 MLR and Rebate Calculation'!$K$53</f>
        <v>988061.94066736533</v>
      </c>
      <c r="E11" s="97">
        <f ca="1">'Pt 3 MLR and Rebate Calculation'!$P$53</f>
        <v>0</v>
      </c>
      <c r="F11" s="97">
        <f>'Pt 3 MLR and Rebate Calculation'!$T$53</f>
        <v>0</v>
      </c>
      <c r="G11" s="97"/>
      <c r="H11" s="97"/>
      <c r="I11" s="178"/>
      <c r="J11" s="178"/>
      <c r="K11" s="196"/>
    </row>
    <row r="12" spans="2:11" x14ac:dyDescent="0.2">
      <c r="B12" s="124" t="s">
        <v>93</v>
      </c>
      <c r="C12" s="94">
        <v>-108.4</v>
      </c>
      <c r="D12" s="95">
        <v>-3.0100000000000016</v>
      </c>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1018883.66</v>
      </c>
      <c r="D14" s="95">
        <v>988061.94</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1363232.95</v>
      </c>
      <c r="D16" s="99">
        <v>1497638.7</v>
      </c>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v>1</v>
      </c>
      <c r="D18" s="106">
        <v>1</v>
      </c>
      <c r="E18" s="106"/>
      <c r="F18" s="106"/>
      <c r="G18" s="106"/>
      <c r="H18" s="106"/>
      <c r="I18" s="180"/>
      <c r="J18" s="180"/>
      <c r="K18" s="198"/>
    </row>
    <row r="19" spans="2:12" ht="25.5" x14ac:dyDescent="0.2">
      <c r="B19" s="116" t="s">
        <v>208</v>
      </c>
      <c r="C19" s="179"/>
      <c r="D19" s="106">
        <v>1</v>
      </c>
      <c r="E19" s="106"/>
      <c r="F19" s="188"/>
      <c r="G19" s="106"/>
      <c r="H19" s="106"/>
      <c r="I19" s="180"/>
      <c r="J19" s="180"/>
      <c r="K19" s="199"/>
    </row>
    <row r="20" spans="2:12" ht="25.5" x14ac:dyDescent="0.2">
      <c r="B20" s="116" t="s">
        <v>209</v>
      </c>
      <c r="C20" s="187">
        <v>1</v>
      </c>
      <c r="D20" s="106">
        <v>1</v>
      </c>
      <c r="E20" s="106"/>
      <c r="F20" s="106"/>
      <c r="G20" s="106"/>
      <c r="H20" s="106"/>
      <c r="I20" s="180"/>
      <c r="J20" s="180"/>
      <c r="K20" s="198"/>
    </row>
    <row r="21" spans="2:12" ht="25.5" x14ac:dyDescent="0.2">
      <c r="B21" s="116" t="s">
        <v>210</v>
      </c>
      <c r="C21" s="179"/>
      <c r="D21" s="106">
        <v>1</v>
      </c>
      <c r="E21" s="106"/>
      <c r="F21" s="188"/>
      <c r="G21" s="106"/>
      <c r="H21" s="106"/>
      <c r="I21" s="180"/>
      <c r="J21" s="180"/>
      <c r="K21" s="199"/>
    </row>
    <row r="22" spans="2:12" s="5" customFormat="1" x14ac:dyDescent="0.2">
      <c r="B22" s="126" t="s">
        <v>211</v>
      </c>
      <c r="C22" s="121">
        <v>126316</v>
      </c>
      <c r="D22" s="127">
        <v>50723.71</v>
      </c>
      <c r="E22" s="127"/>
      <c r="F22" s="127"/>
      <c r="G22" s="127"/>
      <c r="H22" s="127"/>
      <c r="I22" s="181"/>
      <c r="J22" s="181"/>
      <c r="K22" s="200"/>
    </row>
    <row r="23" spans="2:12" s="5" customFormat="1" ht="100.15" customHeight="1" x14ac:dyDescent="0.2">
      <c r="B23" s="91" t="s">
        <v>212</v>
      </c>
      <c r="C23" s="483" t="s">
        <v>510</v>
      </c>
      <c r="D23" s="484"/>
      <c r="E23" s="484"/>
      <c r="F23" s="484"/>
      <c r="G23" s="484"/>
      <c r="H23" s="484"/>
      <c r="I23" s="484"/>
      <c r="J23" s="484"/>
      <c r="K23" s="485"/>
    </row>
    <row r="24" spans="2:12" s="5" customFormat="1" ht="100.15" customHeight="1" x14ac:dyDescent="0.2">
      <c r="B24" s="90" t="s">
        <v>213</v>
      </c>
      <c r="C24" s="486" t="s">
        <v>511</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xWindow="1090" yWindow="489"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t="s">
        <v>508</v>
      </c>
      <c r="C9" s="28"/>
      <c r="D9" s="29"/>
      <c r="E9" s="29"/>
      <c r="F9" s="29"/>
      <c r="G9" s="29"/>
      <c r="H9" s="29"/>
      <c r="I9" s="27"/>
      <c r="J9" s="27"/>
      <c r="K9" s="2"/>
    </row>
    <row r="10" spans="1:12" s="5" customFormat="1" ht="18" customHeight="1" x14ac:dyDescent="0.2">
      <c r="B10" s="61" t="s">
        <v>509</v>
      </c>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2016-07-28T17:08:14Z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