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A55" i="18"/>
  <c r="Z55" i="18"/>
  <c r="Z22" i="4" s="1"/>
  <c r="Y55" i="18"/>
  <c r="X55" i="18"/>
  <c r="W55" i="18"/>
  <c r="W22" i="4" s="1"/>
  <c r="V55" i="18"/>
  <c r="U55" i="18"/>
  <c r="U22" i="4" s="1"/>
  <c r="T55" i="18"/>
  <c r="S55" i="18"/>
  <c r="S22" i="4" s="1"/>
  <c r="R55" i="18"/>
  <c r="Q55" i="18"/>
  <c r="P55" i="18"/>
  <c r="O55" i="18"/>
  <c r="N55" i="18"/>
  <c r="M55" i="18"/>
  <c r="L55" i="18"/>
  <c r="K55" i="18"/>
  <c r="J55" i="18"/>
  <c r="I55" i="18"/>
  <c r="H55" i="18"/>
  <c r="G55" i="18"/>
  <c r="F55" i="18"/>
  <c r="E55" i="18"/>
  <c r="D55" i="18"/>
  <c r="AU54" i="18"/>
  <c r="AT54" i="18"/>
  <c r="AT12" i="4" s="1"/>
  <c r="AS54" i="18"/>
  <c r="AS12" i="4" s="1"/>
  <c r="AC54" i="18"/>
  <c r="AC12" i="4" s="1"/>
  <c r="AB54" i="18"/>
  <c r="AA54" i="18"/>
  <c r="AA12" i="4" s="1"/>
  <c r="Z54" i="18"/>
  <c r="Z12" i="4" s="1"/>
  <c r="Y54" i="18"/>
  <c r="Y12" i="4" s="1"/>
  <c r="X54" i="18"/>
  <c r="W54" i="18"/>
  <c r="W12" i="4" s="1"/>
  <c r="V54" i="18"/>
  <c r="U54" i="18"/>
  <c r="U12" i="4" s="1"/>
  <c r="T54" i="18"/>
  <c r="T12" i="4" s="1"/>
  <c r="S54" i="18"/>
  <c r="S12" i="4" s="1"/>
  <c r="R54" i="18"/>
  <c r="R12" i="4" s="1"/>
  <c r="Q54" i="18"/>
  <c r="Q12" i="4" s="1"/>
  <c r="P54" i="18"/>
  <c r="P12" i="4" s="1"/>
  <c r="O54" i="18"/>
  <c r="O12" i="4" s="1"/>
  <c r="N54" i="18"/>
  <c r="N12" i="4" s="1"/>
  <c r="M54" i="18"/>
  <c r="M12" i="4" s="1"/>
  <c r="L54" i="18"/>
  <c r="K54" i="18"/>
  <c r="J54" i="18"/>
  <c r="I54" i="18"/>
  <c r="I12" i="4" s="1"/>
  <c r="H54" i="18"/>
  <c r="G54" i="18"/>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Y22" i="4"/>
  <c r="X22" i="4"/>
  <c r="V22" i="4"/>
  <c r="T22" i="4"/>
  <c r="R22" i="4"/>
  <c r="Q22" i="4"/>
  <c r="P22" i="4"/>
  <c r="O22" i="4"/>
  <c r="N22" i="4"/>
  <c r="M22" i="4"/>
  <c r="L22" i="4"/>
  <c r="K22" i="4"/>
  <c r="J22" i="4"/>
  <c r="I22" i="4"/>
  <c r="H22" i="4"/>
  <c r="G22" i="4"/>
  <c r="F22" i="4"/>
  <c r="E22" i="4"/>
  <c r="D22" i="4"/>
  <c r="AU12" i="4"/>
  <c r="AB12" i="4"/>
  <c r="X12" i="4"/>
  <c r="V12" i="4"/>
  <c r="L12" i="4"/>
  <c r="K12" i="4"/>
  <c r="J12" i="4"/>
  <c r="H12" i="4"/>
  <c r="G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K15" i="10" s="1"/>
  <c r="E15" i="10"/>
  <c r="F15" i="10"/>
  <c r="G15" i="10"/>
  <c r="G32" i="10" s="1"/>
  <c r="E7" i="10"/>
  <c r="J7" i="10"/>
  <c r="P47" i="10"/>
  <c r="G20" i="10"/>
  <c r="G19" i="10"/>
  <c r="G24" i="10"/>
  <c r="L30" i="10"/>
  <c r="L31" i="10" s="1"/>
  <c r="L29" i="10" s="1"/>
  <c r="L33" i="10" s="1"/>
  <c r="L34" i="10" s="1"/>
  <c r="L21" i="10"/>
  <c r="L26" i="10" s="1"/>
  <c r="L25" i="10" s="1"/>
  <c r="L28" i="10" s="1"/>
  <c r="X39" i="10"/>
  <c r="T39" i="10"/>
  <c r="P39" i="10"/>
  <c r="T13" i="10"/>
  <c r="X13" i="10"/>
  <c r="U13" i="10"/>
  <c r="G27" i="10" l="1"/>
  <c r="G23" i="10"/>
  <c r="F7" i="10"/>
  <c r="D12" i="10" s="1"/>
  <c r="D17" i="10"/>
  <c r="D45" i="10" s="1"/>
  <c r="K7" i="10"/>
  <c r="H17" i="10" s="1"/>
  <c r="J12" i="10"/>
  <c r="G22" i="10"/>
  <c r="I17" i="10" l="1"/>
  <c r="I45" i="10" s="1"/>
  <c r="J38" i="10"/>
  <c r="E12" i="10"/>
  <c r="C17" i="10"/>
  <c r="C45" i="10" s="1"/>
  <c r="H12" i="10"/>
  <c r="F17" i="10"/>
  <c r="C12" i="10"/>
  <c r="E17" i="10"/>
  <c r="E38" i="10"/>
  <c r="F38" i="10" s="1"/>
  <c r="K38" i="10"/>
  <c r="J17" i="10"/>
  <c r="J45" i="10" s="1"/>
  <c r="I12" i="10"/>
  <c r="H45" i="10"/>
  <c r="K12" i="10"/>
  <c r="K17" i="10"/>
  <c r="G30" i="10"/>
  <c r="G31" i="10" s="1"/>
  <c r="G29" i="10" s="1"/>
  <c r="G33" i="10" s="1"/>
  <c r="G34" i="10" s="1"/>
  <c r="G21" i="10"/>
  <c r="G26" i="10" s="1"/>
  <c r="G25" i="10" s="1"/>
  <c r="G28" i="10" s="1"/>
  <c r="E45" i="10" l="1"/>
  <c r="F12" i="10"/>
  <c r="F52" i="10"/>
  <c r="F53" i="10"/>
  <c r="C11" i="16" s="1"/>
  <c r="F42" i="10"/>
  <c r="F45" i="10"/>
  <c r="F39" i="10"/>
  <c r="K53" i="10"/>
  <c r="D11" i="16" s="1"/>
  <c r="K45" i="10"/>
  <c r="K42" i="10"/>
  <c r="K52" i="10"/>
  <c r="K39"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<sst xmlns="http://schemas.openxmlformats.org/spreadsheetml/2006/main" count="569" uniqueCount="508">
  <si>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</si>
  <si>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</si>
  <si>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</si>
  <si>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</si>
  <si>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</si>
  <si>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</si>
  <si>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</si>
  <si>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</si>
  <si>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</si>
  <si>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</si>
  <si>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</si>
  <si>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</si>
  <si>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</si>
  <si>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</si>
  <si>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</si>
  <si>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</si>
  <si>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</si>
  <si>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</si>
  <si>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</si>
  <si>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</si>
  <si>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</si>
  <si>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</si>
  <si>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</si>
  <si>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</si>
  <si>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</si>
  <si>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</si>
  <si>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</si>
  <si>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</si>
  <si>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</si>
  <si>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</si>
  <si>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</si>
  <si>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</si>
  <si>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</si>
  <si>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</si>
  <si>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</si>
  <si>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</si>
  <si>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</si>
  <si>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</si>
  <si>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</si>
  <si>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</si>
  <si>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</si>
  <si>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</si>
  <si>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</si>
  <si>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</si>
  <si>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</si>
  <si>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</si>
  <si>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</si>
  <si>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</si>
  <si>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</si>
  <si>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</si>
  <si>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</si>
  <si>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</si>
  <si>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</si>
  <si>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</si>
  <si>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</si>
  <si>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</si>
  <si>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</si>
  <si>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</si>
  <si>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</si>
  <si>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</si>
  <si>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</si>
  <si>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</si>
  <si>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</si>
  <si>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</si>
  <si>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</si>
  <si>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</si>
  <si>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</si>
  <si>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</si>
  <si>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</si>
  <si>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</si>
  <si>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</si>
  <si>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</si>
  <si>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</si>
  <si>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</si>
  <si>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</si>
  <si>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</si>
  <si>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</si>
  <si>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</si>
  <si>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</si>
  <si>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</si>
  <si>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</si>
  <si>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</si>
  <si>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</si>
  <si>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</si>
  <si>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</si>
  <si>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</si>
  <si>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</si>
  <si>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</si>
  <si>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</si>
  <si>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</si>
  <si>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</si>
  <si>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</si>
  <si>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</si>
  <si>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</si>
  <si>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</si>
  <si>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</si>
  <si>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</si>
  <si>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</si>
  <si>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</si>
  <si>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</si>
  <si>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</si>
  <si>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</si>
  <si>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</si>
  <si>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</si>
  <si>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</si>
  <si>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</si>
  <si>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</si>
  <si>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</si>
  <si>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</si>
  <si>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</si>
  <si>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</si>
  <si>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</si>
  <si>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</si>
  <si>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</si>
  <si>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</si>
  <si>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</si>
  <si>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</si>
  <si>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</si>
  <si>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</si>
  <si>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</si>
  <si>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</si>
  <si>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</si>
  <si>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</si>
  <si>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</si>
  <si>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</si>
  <si>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</si>
  <si>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</si>
  <si>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</si>
  <si>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</si>
  <si>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</si>
  <si>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</si>
  <si>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</si>
  <si>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</si>
  <si>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</si>
  <si>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</si>
  <si>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</si>
  <si>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</si>
  <si>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</si>
  <si>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</si>
  <si>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</si>
  <si>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</si>
  <si>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</si>
  <si>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</si>
  <si>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</si>
  <si>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</si>
  <si>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</si>
  <si>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</si>
  <si>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</si>
  <si>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</si>
  <si>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</si>
  <si>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</si>
  <si>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</si>
  <si>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</si>
  <si>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</si>
  <si>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</si>
  <si>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</si>
  <si>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</si>
  <si>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</si>
  <si>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</si>
  <si>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</si>
  <si>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</si>
  <si>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</si>
  <si>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</si>
  <si>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</si>
  <si>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</si>
  <si>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</si>
  <si>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</si>
  <si>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</si>
  <si>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</si>
  <si>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</si>
  <si>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</si>
  <si>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</si>
  <si>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</si>
  <si>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</si>
  <si>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</si>
  <si>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</si>
  <si>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</si>
  <si>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</si>
  <si>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</si>
  <si>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</si>
  <si>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</si>
  <si>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</si>
  <si>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</si>
  <si>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</si>
  <si>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</si>
  <si>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</si>
  <si>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</si>
  <si>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</si>
  <si>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</si>
  <si>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</si>
  <si>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</si>
  <si>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</si>
  <si>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</si>
  <si>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</si>
  <si>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</si>
  <si>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</si>
  <si>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</si>
  <si>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</si>
  <si>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</si>
  <si>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</si>
  <si>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</si>
  <si>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</si>
  <si>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</si>
  <si>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</si>
  <si>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</si>
  <si>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</si>
  <si>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</si>
  <si>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</si>
  <si>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</si>
  <si>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</si>
  <si>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</si>
  <si>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</si>
  <si>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</si>
  <si>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</si>
  <si>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</si>
  <si>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</si>
  <si>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</si>
  <si>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</si>
  <si>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</si>
  <si>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</si>
  <si>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</si>
  <si>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</si>
  <si>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</si>
  <si>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</si>
  <si>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</si>
  <si>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</si>
  <si>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</si>
  <si>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</si>
  <si>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</si>
  <si>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</si>
  <si>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</si>
  <si>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</si>
  <si>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</si>
  <si>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</si>
  <si>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</si>
  <si>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</si>
  <si>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</si>
  <si>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</si>
  <si>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</si>
  <si>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</si>
  <si>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</si>
  <si>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</si>
  <si>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</si>
  <si>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</si>
  <si>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</si>
  <si>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</si>
  <si>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</si>
  <si>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</si>
  <si>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</si>
  <si>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</si>
  <si>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</si>
  <si>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</si>
  <si>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</si>
  <si>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</si>
  <si>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</si>
  <si>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</si>
  <si>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</si>
  <si>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</si>
  <si>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</si>
  <si>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</si>
  <si>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</si>
  <si>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</si>
  <si>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</si>
  <si>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</si>
  <si>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</si>
  <si>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</si>
  <si>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</si>
  <si>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</si>
  <si>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</si>
  <si>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</si>
  <si>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</si>
  <si>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</si>
  <si>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</si>
  <si>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</si>
  <si>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</si>
  <si>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</si>
  <si>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</si>
  <si>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</si>
  <si>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</si>
  <si>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</si>
  <si>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</si>
  <si>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</si>
  <si>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</si>
  <si>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</si>
  <si>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</si>
  <si>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</si>
  <si>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</si>
  <si>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</si>
  <si>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</si>
  <si>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</si>
  <si>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</si>
  <si>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</si>
  <si>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</si>
  <si>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</si>
  <si>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</si>
  <si>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</si>
  <si>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</si>
  <si>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</si>
  <si>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</si>
  <si>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</si>
  <si>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</si>
  <si>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</si>
  <si>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</si>
  <si>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</si>
  <si>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</si>
  <si>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</si>
  <si>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</si>
  <si>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</si>
  <si>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</si>
  <si>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</si>
  <si>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</si>
  <si>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</si>
  <si>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</si>
  <si>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</si>
  <si>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</si>
  <si>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</si>
  <si>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</si>
  <si>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</si>
  <si>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</si>
  <si>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</si>
  <si>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</si>
  <si>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</si>
  <si>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</si>
  <si>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</si>
  <si>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</si>
  <si>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</si>
  <si>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</si>
  <si>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</si>
  <si>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</si>
  <si>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</si>
  <si>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</si>
  <si>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</si>
  <si>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</si>
  <si>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</si>
  <si>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</si>
  <si>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</si>
  <si>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</si>
  <si>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</si>
  <si>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</si>
  <si>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</si>
  <si>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</si>
  <si>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</si>
  <si>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</si>
  <si>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</si>
  <si>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</si>
  <si>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</si>
  <si>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</si>
  <si>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</si>
  <si>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</si>
  <si>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</si>
  <si>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</si>
  <si>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</si>
  <si>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</si>
  <si>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</si>
  <si>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</si>
  <si>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</si>
  <si>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</si>
  <si>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</si>
  <si>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</si>
  <si>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</si>
  <si>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</si>
  <si>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</si>
  <si>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</si>
  <si>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</si>
  <si>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</si>
  <si>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</si>
  <si>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</si>
  <si>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</si>
  <si>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</si>
  <si>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</si>
  <si>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</si>
  <si>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</si>
  <si>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</si>
  <si>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</si>
  <si>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</si>
  <si>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</si>
  <si>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</si>
  <si>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</si>
  <si>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</si>
  <si>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</si>
  <si>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</si>
  <si>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</si>
  <si>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</si>
  <si>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</si>
  <si>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</si>
  <si>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</si>
  <si>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</si>
  <si>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</si>
  <si>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</si>
  <si>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</si>
  <si>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</si>
  <si>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</si>
  <si>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</si>
  <si>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</si>
  <si>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</si>
  <si>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</si>
  <si>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</si>
  <si>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</si>
  <si>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</si>
  <si>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</si>
  <si>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</si>
  <si>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</si>
  <si>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</si>
  <si>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</si>
  <si>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</si>
  <si>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</si>
  <si>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</si>
  <si>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</si>
  <si>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</si>
  <si>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</si>
  <si>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</si>
  <si>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</si>
  <si>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</si>
  <si>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</si>
  <si>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</si>
  <si>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</si>
  <si>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</si>
  <si>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</si>
  <si>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</si>
  <si>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</si>
  <si>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</si>
  <si>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</si>
  <si>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</si>
  <si>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</si>
  <si>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</si>
  <si>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</si>
  <si>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</si>
  <si>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</si>
  <si>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</si>
  <si>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</si>
  <si>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</si>
  <si>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</si>
  <si>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</si>
  <si>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</si>
  <si>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</si>
  <si>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</si>
  <si>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</si>
  <si>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</si>
  <si>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</si>
  <si>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</si>
  <si>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</si>
  <si>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</si>
  <si>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</si>
  <si>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</si>
  <si>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</si>
  <si>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</si>
  <si>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</si>
  <si>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</si>
  <si>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</si>
  <si>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</si>
  <si>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</si>
  <si>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</si>
  <si>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</si>
  <si>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</si>
  <si>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</si>
  <si>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</si>
  <si>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</si>
  <si>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</si>
  <si>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</si>
  <si>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</si>
  <si>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</si>
  <si>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</si>
  <si>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</si>
  <si>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</si>
  <si>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</si>
  <si>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</si>
  <si>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</si>
  <si>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</si>
  <si>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</si>
  <si>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</si>
  <si>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</si>
  <si>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</si>
  <si>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</si>
  <si>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</si>
  <si>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</si>
  <si>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</si>
  <si>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</si>
  <si>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</si>
  <si>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</si>
  <si>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</si>
  <si>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</si>
  <si>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</si>
  <si>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</si>
  <si>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</si>
  <si>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</si>
  <si>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</si>
  <si>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</si>
  <si>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</si>
  <si>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</si>
  <si>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</si>
  <si>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</si>
  <si>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</si>
  <si>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</si>
  <si>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</si>
  <si>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</si>
  <si>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</si>
  <si>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</si>
  <si>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</si>
  <si>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</si>
  <si>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</si>
  <si>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</si>
  <si>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</si>
  <si>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</si>
  <si>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</si>
  <si>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</si>
  <si>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68744</t>
  </si>
  <si>
    <t>219</t>
  </si>
  <si>
    <t>LINCOLN NATIONAL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</si>
</sst>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746381</v>
      </c>
      <c r="K5" s="213">
        <f>SUM('Pt 2 Premium and Claims'!K$5,'Pt 2 Premium and Claims'!K$6,-'Pt 2 Premium and Claims'!K$7,-'Pt 2 Premium and Claims'!K$13,'Pt 2 Premium and Claims'!K$14,'Pt 2 Premium and Claims'!K$16:'Pt 2 Premium and Claims'!K$17)</f>
        <v>764750.80999999994</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26946066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-26</v>
      </c>
      <c r="K7" s="217">
        <v>-26.22</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-273</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-21247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466714</v>
      </c>
      <c r="K12" s="213">
        <f>'Pt 2 Premium and Claims'!K$54</f>
        <v>421267.90609999996</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19850659</v>
      </c>
      <c r="AU12" s="214">
        <f>'Pt 2 Premium and Claims'!AU$54</f>
        <v>0</v>
      </c>
      <c r="AV12" s="291"/>
      <c r="AW12" s="296"/>
    </row>
    <row r="13" spans="1:49" ht="25.5" x14ac:dyDescent="0.2">
      <c r="B13" s="239" t="s">
        <v>230</v>
      </c>
      <c r="C13" s="203" t="s">
        <v>37</v>
      </c>
      <c r="D13" s="216">
        <v>0</v>
      </c>
      <c r="E13" s="217"/>
      <c r="F13" s="217"/>
      <c r="G13" s="268"/>
      <c r="H13" s="269"/>
      <c r="I13" s="216"/>
      <c r="J13" s="216">
        <v>29011</v>
      </c>
      <c r="K13" s="217">
        <v>30308.909999999996</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114158</v>
      </c>
      <c r="AU13" s="220">
        <v>0</v>
      </c>
      <c r="AV13" s="290"/>
      <c r="AW13" s="297"/>
    </row>
    <row r="14" spans="1:49" ht="25.5" x14ac:dyDescent="0.2">
      <c r="B14" s="239" t="s">
        <v>231</v>
      </c>
      <c r="C14" s="203" t="s">
        <v>6</v>
      </c>
      <c r="D14" s="216">
        <v>0</v>
      </c>
      <c r="E14" s="217"/>
      <c r="F14" s="217"/>
      <c r="G14" s="267"/>
      <c r="H14" s="270"/>
      <c r="I14" s="216"/>
      <c r="J14" s="216">
        <v>5990</v>
      </c>
      <c r="K14" s="217">
        <v>6060.78</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-225</v>
      </c>
      <c r="AU14" s="220">
        <v>0</v>
      </c>
      <c r="AV14" s="290"/>
      <c r="AW14" s="297"/>
    </row>
    <row r="15" spans="1:49" ht="38.25" x14ac:dyDescent="0.2">
      <c r="B15" s="239" t="s">
        <v>232</v>
      </c>
      <c r="C15" s="203" t="s">
        <v>7</v>
      </c>
      <c r="D15" s="216">
        <v>0</v>
      </c>
      <c r="E15" s="217"/>
      <c r="F15" s="217"/>
      <c r="G15" s="267"/>
      <c r="H15" s="273"/>
      <c r="I15" s="216"/>
      <c r="J15" s="216">
        <v>55</v>
      </c>
      <c r="K15" s="217">
        <v>55.42</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1900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-120977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103</v>
      </c>
      <c r="K22" s="222">
        <f>'Pt 2 Premium and Claims'!K$55</f>
        <v>103.44</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4858.03</v>
      </c>
      <c r="K25" s="217">
        <v>4857.8673506443502</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-452789.62</v>
      </c>
      <c r="AU25" s="220"/>
      <c r="AV25" s="220"/>
      <c r="AW25" s="297"/>
    </row>
    <row r="26" spans="1:49" s="5" customFormat="1" x14ac:dyDescent="0.2">
      <c r="A26" s="35"/>
      <c r="B26" s="242" t="s">
        <v>242</v>
      </c>
      <c r="C26" s="203"/>
      <c r="D26" s="216"/>
      <c r="E26" s="217"/>
      <c r="F26" s="217"/>
      <c r="G26" s="217"/>
      <c r="H26" s="217"/>
      <c r="I26" s="216"/>
      <c r="J26" s="216">
        <v>108.52</v>
      </c>
      <c r="K26" s="217">
        <v>108.52</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12531.07</v>
      </c>
      <c r="K27" s="217">
        <v>12531.07</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63179.839999999997</v>
      </c>
      <c r="AU27" s="220"/>
      <c r="AV27" s="293"/>
      <c r="AW27" s="297"/>
    </row>
    <row r="28" spans="1:49" s="5" customFormat="1" x14ac:dyDescent="0.2">
      <c r="A28" s="35"/>
      <c r="B28" s="242" t="s">
        <v>244</v>
      </c>
      <c r="C28" s="203"/>
      <c r="D28" s="216"/>
      <c r="E28" s="217"/>
      <c r="F28" s="217"/>
      <c r="G28" s="217"/>
      <c r="H28" s="217"/>
      <c r="I28" s="216"/>
      <c r="J28" s="216">
        <v>10827.07</v>
      </c>
      <c r="K28" s="217">
        <v>10827.07</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111680.12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1915.99</v>
      </c>
      <c r="K30" s="217">
        <v>1915.9772723063611</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-13236.22</v>
      </c>
      <c r="AU30" s="220"/>
      <c r="AV30" s="220"/>
      <c r="AW30" s="297"/>
    </row>
    <row r="31" spans="1:49" x14ac:dyDescent="0.2">
      <c r="B31" s="242" t="s">
        <v>247</v>
      </c>
      <c r="C31" s="203"/>
      <c r="D31" s="216"/>
      <c r="E31" s="217"/>
      <c r="F31" s="217"/>
      <c r="G31" s="217"/>
      <c r="H31" s="217"/>
      <c r="I31" s="216"/>
      <c r="J31" s="216">
        <v>19948.38</v>
      </c>
      <c r="K31" s="217">
        <v>19948.38</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724599.83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2382.6</v>
      </c>
      <c r="K34" s="217">
        <v>2382.6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3351.77</v>
      </c>
      <c r="K35" s="217">
        <v>3351.77</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35840.269999999997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410</v>
      </c>
      <c r="K37" s="225">
        <v>410.43</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1292</v>
      </c>
      <c r="AU37" s="226">
        <v>0</v>
      </c>
      <c r="AV37" s="226">
        <v>17</v>
      </c>
      <c r="AW37" s="296"/>
    </row>
    <row r="38" spans="1:49" x14ac:dyDescent="0.2">
      <c r="B38" s="239" t="s">
        <v>254</v>
      </c>
      <c r="C38" s="203" t="s">
        <v>16</v>
      </c>
      <c r="D38" s="216">
        <v>0</v>
      </c>
      <c r="E38" s="217"/>
      <c r="F38" s="217"/>
      <c r="G38" s="217"/>
      <c r="H38" s="217"/>
      <c r="I38" s="216"/>
      <c r="J38" s="216">
        <v>46</v>
      </c>
      <c r="K38" s="217">
        <v>45.69</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v>
      </c>
      <c r="AU38" s="220">
        <v>0</v>
      </c>
      <c r="AV38" s="220">
        <v>0</v>
      </c>
      <c r="AW38" s="297"/>
    </row>
    <row r="39" spans="1:49" x14ac:dyDescent="0.2">
      <c r="B39" s="242" t="s">
        <v>255</v>
      </c>
      <c r="C39" s="203" t="s">
        <v>17</v>
      </c>
      <c r="D39" s="216">
        <v>0</v>
      </c>
      <c r="E39" s="217"/>
      <c r="F39" s="217"/>
      <c r="G39" s="217"/>
      <c r="H39" s="217"/>
      <c r="I39" s="216"/>
      <c r="J39" s="216">
        <v>161</v>
      </c>
      <c r="K39" s="217">
        <v>161.41999999999999</v>
      </c>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7830</v>
      </c>
      <c r="AU39" s="220">
        <v>0</v>
      </c>
      <c r="AV39" s="220">
        <v>0</v>
      </c>
      <c r="AW39" s="297"/>
    </row>
    <row r="40" spans="1:49" x14ac:dyDescent="0.2">
      <c r="B40" s="242" t="s">
        <v>256</v>
      </c>
      <c r="C40" s="203" t="s">
        <v>38</v>
      </c>
      <c r="D40" s="216">
        <v>0</v>
      </c>
      <c r="E40" s="217"/>
      <c r="F40" s="217"/>
      <c r="G40" s="217"/>
      <c r="H40" s="217"/>
      <c r="I40" s="216"/>
      <c r="J40" s="216">
        <v>3107</v>
      </c>
      <c r="K40" s="217">
        <v>3106.74</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237104</v>
      </c>
      <c r="AU40" s="220">
        <v>0</v>
      </c>
      <c r="AV40" s="220">
        <v>0</v>
      </c>
      <c r="AW40" s="297"/>
    </row>
    <row r="41" spans="1:49" s="5" customFormat="1" ht="25.5" x14ac:dyDescent="0.2">
      <c r="A41" s="35"/>
      <c r="B41" s="242" t="s">
        <v>257</v>
      </c>
      <c r="C41" s="203" t="s">
        <v>129</v>
      </c>
      <c r="D41" s="216">
        <v>0</v>
      </c>
      <c r="E41" s="217"/>
      <c r="F41" s="217"/>
      <c r="G41" s="217"/>
      <c r="H41" s="217"/>
      <c r="I41" s="216"/>
      <c r="J41" s="216">
        <v>243</v>
      </c>
      <c r="K41" s="217">
        <v>243.2</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59177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111866</v>
      </c>
      <c r="K44" s="225">
        <v>111866.31</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73625</v>
      </c>
      <c r="AU44" s="226">
        <v>0</v>
      </c>
      <c r="AV44" s="226">
        <v>0</v>
      </c>
      <c r="AW44" s="296"/>
    </row>
    <row r="45" spans="1:49" x14ac:dyDescent="0.2">
      <c r="B45" s="245" t="s">
        <v>261</v>
      </c>
      <c r="C45" s="203" t="s">
        <v>19</v>
      </c>
      <c r="D45" s="216">
        <v>0</v>
      </c>
      <c r="E45" s="217"/>
      <c r="F45" s="217"/>
      <c r="G45" s="217"/>
      <c r="H45" s="217"/>
      <c r="I45" s="216"/>
      <c r="J45" s="216">
        <v>859</v>
      </c>
      <c r="K45" s="217">
        <v>859.36</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340980</v>
      </c>
      <c r="AU45" s="220">
        <v>0</v>
      </c>
      <c r="AV45" s="220">
        <v>0</v>
      </c>
      <c r="AW45" s="297"/>
    </row>
    <row r="46" spans="1:49" x14ac:dyDescent="0.2">
      <c r="B46" s="245" t="s">
        <v>262</v>
      </c>
      <c r="C46" s="203" t="s">
        <v>20</v>
      </c>
      <c r="D46" s="216">
        <v>0</v>
      </c>
      <c r="E46" s="217"/>
      <c r="F46" s="217"/>
      <c r="G46" s="217"/>
      <c r="H46" s="217"/>
      <c r="I46" s="216"/>
      <c r="J46" s="216">
        <v>58454</v>
      </c>
      <c r="K46" s="217">
        <v>58453.88</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228017</v>
      </c>
      <c r="AU46" s="220">
        <v>0</v>
      </c>
      <c r="AV46" s="220">
        <v>1</v>
      </c>
      <c r="AW46" s="297"/>
    </row>
    <row r="47" spans="1:49" x14ac:dyDescent="0.2">
      <c r="B47" s="245" t="s">
        <v>263</v>
      </c>
      <c r="C47" s="203" t="s">
        <v>21</v>
      </c>
      <c r="D47" s="216">
        <v>0</v>
      </c>
      <c r="E47" s="217"/>
      <c r="F47" s="217"/>
      <c r="G47" s="217"/>
      <c r="H47" s="217"/>
      <c r="I47" s="216"/>
      <c r="J47" s="216">
        <v>22141</v>
      </c>
      <c r="K47" s="217">
        <v>22140.66</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7449376</v>
      </c>
      <c r="AU47" s="220">
        <v>0</v>
      </c>
      <c r="AV47" s="220">
        <v>32988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-1544.9</v>
      </c>
      <c r="K49" s="217">
        <v>-1544.9</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-11727.61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102849</v>
      </c>
      <c r="K51" s="217">
        <v>102849.44</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-825140</v>
      </c>
      <c r="AU51" s="220">
        <v>0</v>
      </c>
      <c r="AV51" s="220">
        <v>227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38525</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56173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947</v>
      </c>
      <c r="AU58" s="233">
        <v>0</v>
      </c>
      <c r="AV58" s="233">
        <v>0</v>
      </c>
      <c r="AW58" s="289"/>
    </row>
    <row r="59" spans="2:49" x14ac:dyDescent="0.2">
      <c r="B59" s="245" t="s">
        <v>274</v>
      </c>
      <c r="C59" s="203" t="s">
        <v>27</v>
      </c>
      <c r="D59" s="231">
        <v>0</v>
      </c>
      <c r="E59" s="232"/>
      <c r="F59" s="232"/>
      <c r="G59" s="232"/>
      <c r="H59" s="232"/>
      <c r="I59" s="231"/>
      <c r="J59" s="231">
        <v>436</v>
      </c>
      <c r="K59" s="232">
        <v>439</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644180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36.333333333333336</v>
      </c>
      <c r="K60" s="235">
        <f t="shared" si="0"/>
        <v>36.583333333333336</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53681.666666666664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746381</v>
      </c>
      <c r="K5" s="326">
        <v>741179.95</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26947214</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29908</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31056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23570.86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55385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597186</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19451231</v>
      </c>
      <c r="AU23" s="321">
        <v>0</v>
      </c>
      <c r="AV23" s="368"/>
      <c r="AW23" s="374"/>
    </row>
    <row r="24" spans="2:49" ht="28.5" customHeight="1" x14ac:dyDescent="0.2">
      <c r="B24" s="345" t="s">
        <v>114</v>
      </c>
      <c r="C24" s="331"/>
      <c r="D24" s="365"/>
      <c r="E24" s="319"/>
      <c r="F24" s="319"/>
      <c r="G24" s="319"/>
      <c r="H24" s="319"/>
      <c r="I24" s="318"/>
      <c r="J24" s="365"/>
      <c r="K24" s="319">
        <v>422354.81</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13393</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2842964</v>
      </c>
      <c r="AU26" s="321">
        <v>0</v>
      </c>
      <c r="AV26" s="368"/>
      <c r="AW26" s="374"/>
    </row>
    <row r="27" spans="2:49" s="5" customFormat="1" ht="25.5" x14ac:dyDescent="0.2">
      <c r="B27" s="345" t="s">
        <v>85</v>
      </c>
      <c r="C27" s="331"/>
      <c r="D27" s="365"/>
      <c r="E27" s="319"/>
      <c r="F27" s="319"/>
      <c r="G27" s="319"/>
      <c r="H27" s="319"/>
      <c r="I27" s="318"/>
      <c r="J27" s="365"/>
      <c r="K27" s="319">
        <v>5332.4360999999963</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144891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2343999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152</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710632</v>
      </c>
      <c r="AU30" s="321">
        <v>0</v>
      </c>
      <c r="AV30" s="368"/>
      <c r="AW30" s="374"/>
    </row>
    <row r="31" spans="2:49" s="5" customFormat="1" ht="25.5" x14ac:dyDescent="0.2">
      <c r="B31" s="345" t="s">
        <v>84</v>
      </c>
      <c r="C31" s="331"/>
      <c r="D31" s="365"/>
      <c r="E31" s="319"/>
      <c r="F31" s="319"/>
      <c r="G31" s="319"/>
      <c r="H31" s="319"/>
      <c r="I31" s="318"/>
      <c r="J31" s="365"/>
      <c r="K31" s="319">
        <v>-358.56</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510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813924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3605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-121</v>
      </c>
      <c r="K49" s="319">
        <v>6060.78</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80</v>
      </c>
      <c r="AU49" s="321">
        <v>0</v>
      </c>
      <c r="AV49" s="368"/>
      <c r="AW49" s="374"/>
    </row>
    <row r="50" spans="2:49" x14ac:dyDescent="0.2">
      <c r="B50" s="343" t="s">
        <v>119</v>
      </c>
      <c r="C50" s="331" t="s">
        <v>34</v>
      </c>
      <c r="D50" s="318">
        <v>0</v>
      </c>
      <c r="E50" s="363"/>
      <c r="F50" s="363"/>
      <c r="G50" s="363"/>
      <c r="H50" s="363"/>
      <c r="I50" s="365"/>
      <c r="J50" s="318">
        <v>1263</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230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466714</v>
      </c>
      <c r="K54" s="323">
        <f>K24+K27+K31+K35-K36+K39+K42+K45+K46-K49+K51+K52+K53</f>
        <v>421267.90609999996</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19850659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103</v>
      </c>
      <c r="K55" s="323">
        <f t="shared" si="0"/>
        <v>103.44</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228.39</v>
      </c>
      <c r="K56" s="319">
        <v>228.39</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103</v>
      </c>
      <c r="K57" s="319">
        <v>103.44</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991</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757772.65</v>
      </c>
      <c r="I5" s="403">
        <v>1109007.8899999999</v>
      </c>
      <c r="J5" s="454"/>
      <c r="K5" s="454"/>
      <c r="L5" s="448"/>
      <c r="M5" s="402">
        <v>5763.39</v>
      </c>
      <c r="N5" s="403">
        <v>-10884.56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757871.52139999997</v>
      </c>
      <c r="I6" s="398">
        <v>959027.11809999996</v>
      </c>
      <c r="J6" s="400">
        <f>SUM('Pt 1 Summary of Data'!K$12,'Pt 1 Summary of Data'!K$22)+SUM('Pt 1 Summary of Data'!M$12,'Pt 1 Summary of Data'!M$22)-SUM('Pt 1 Summary of Data'!N$12,'Pt 1 Summary of Data'!N$22)</f>
        <v>421371.34609999997</v>
      </c>
      <c r="K6" s="400">
        <f>SUM(H6:J6)</f>
        <v>2138269.9856000002</v>
      </c>
      <c r="L6" s="401">
        <f>SUM('Pt 1 Summary of Data'!O$12,'Pt 1 Summary of Data'!O$22)</f>
        <v>0</v>
      </c>
      <c r="M6" s="397">
        <v>5763.22</v>
      </c>
      <c r="N6" s="398">
        <v>-5541.4178000000002</v>
      </c>
      <c r="O6" s="400">
        <f>SUM('Pt 1 Summary of Data'!Q$12,'Pt 1 Summary of Data'!Q$22)+SUM('Pt 1 Summary of Data'!S$12,'Pt 1 Summary of Data'!S$22)-SUM('Pt 1 Summary of Data'!T$12,'Pt 1 Summary of Data'!T$22)</f>
        <v>0</v>
      </c>
      <c r="P6" s="400">
        <f>SUM(M6:O6)</f>
        <v>221.80220000000008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8303.9599999999991</v>
      </c>
      <c r="I7" s="398">
        <v>6237.95</v>
      </c>
      <c r="J7" s="400">
        <f>SUM('Pt 1 Summary of Data'!K$37:K$41)+SUM('Pt 1 Summary of Data'!M$37:M$41)-SUM('Pt 1 Summary of Data'!N$37:N$41)+MAX(0,MIN('Pt 1 Summary of Data'!K$42+'Pt 1 Summary of Data'!M$42-'Pt 1 Summary of Data'!N$42,0.3%*('Pt 1 Summary of Data'!K$5+'Pt 1 Summary of Data'!M$5-'Pt 1 Summary of Data'!N$5-SUM(J$10:J$11))))</f>
        <v>3967.4799999999996</v>
      </c>
      <c r="K7" s="400">
        <f>SUM(H7:J7)</f>
        <v>18509.39</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8229.75</v>
      </c>
      <c r="J10" s="400">
        <f>'Pt 2 Premium and Claims'!K$16+'Pt 2 Premium and Claims'!M$16-'Pt 2 Premium and Claims'!N$16</f>
        <v>23570.86</v>
      </c>
      <c r="K10" s="400">
        <f>SUM(H10:J10)</f>
        <v>31800.61</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766175.48139999993</v>
      </c>
      <c r="I12" s="400">
        <f>SUM(I$6:I$7) - SUM(I$10:I$11)+IF(AND(OR('Company Information'!$C$12="District of Columbia",'Company Information'!$C$12="Massachusetts",'Company Information'!$C$12="Vermont"),SUM($H$6:$K$11,$H$15:$K$16,$H$38:$I$38)&lt;&gt;0),SUM(D$6:D$7) - SUM(D$8:D$11),0)</f>
        <v>957035.31809999992</v>
      </c>
      <c r="J12" s="400">
        <f>SUM(J$6:J$7)-SUM(J$10:J$11)+IF(AND(OR('Company Information'!$C$12="District of Columbia",'Company Information'!$C$12="Massachusetts",'Company Information'!$C$12="Vermont"),SUM($H$6:$K$11,$H$15:$K$16,$H$38:$I$38)&lt;&gt;0),SUM(E$6:E$7)-SUM(E$8:E$11),0)</f>
        <v>401767.96609999996</v>
      </c>
      <c r="K12" s="400">
        <f>IFERROR(SUM(H$12:J$12)+H$17*MAX(0,J$50-H$50)+I$17*MAX(0,J$50-I$50),0)</f>
        <v>2124978.7655999996</v>
      </c>
      <c r="L12" s="447"/>
      <c r="M12" s="399">
        <f>SUM(M$6:M$7)</f>
        <v>5763.22</v>
      </c>
      <c r="N12" s="400">
        <f>SUM(N$6:N$7)</f>
        <v>-5541.4178000000002</v>
      </c>
      <c r="O12" s="400">
        <f>SUM(O$6:O$7)</f>
        <v>0</v>
      </c>
      <c r="P12" s="400">
        <f>SUM(M$12:O$12)+M$17*MAX(0,O$50-M$50)+N$17*MAX(0,O$50-N$50)</f>
        <v>221.80220000000008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2464960.7400000002</v>
      </c>
      <c r="I15" s="403">
        <v>1776406.44</v>
      </c>
      <c r="J15" s="395">
        <f>SUM('Pt 1 Summary of Data'!K$5:K$7)+SUM('Pt 1 Summary of Data'!M$5:M$7)-SUM('Pt 1 Summary of Data'!N$5:N$7)-SUM(J$10:J$11)</f>
        <v>741153.73</v>
      </c>
      <c r="K15" s="395">
        <f>SUM(H15:J15)</f>
        <v>4982520.91</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502393</v>
      </c>
      <c r="I16" s="398">
        <v>163806.82999999999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55923.254622950713</v>
      </c>
      <c r="K16" s="400">
        <f>SUM(H16:J16)</f>
        <v>722123.08462295064</v>
      </c>
      <c r="L16" s="401">
        <f>SUM('Pt 1 Summary of Data'!O$25:O$28,'Pt 1 Summary of Data'!O$30,'Pt 1 Summary of Data'!O$34:O$35)+IF('Company Information'!$C$15="No",IF(MAX('Pt 1 Summary of Data'!O$31:O$32)=0,MIN('Pt 1 Summary of Data'!O$31:O$32),MAX('Pt 1 Summary of Data'!O$31:O$32)),SUM('Pt 1 Summary of Data'!O$31:O$32))</f>
        <v>0</v>
      </c>
      <c r="M16" s="397">
        <v>-3390</v>
      </c>
      <c r="N16" s="398">
        <v>-0.06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-3390.06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1962567.7400000002</v>
      </c>
      <c r="I17" s="400">
        <f>I$15-I$16+IF(AND(OR('Company Information'!$C$12="District of Columbia",'Company Information'!$C$12="Massachusetts",'Company Information'!$C$12="Vermont"),SUM($H$6:$K$11,$H$15:$K$16,$H$38:$I$38)&lt;&gt;0),D$15-D$16,0)</f>
        <v>1612599.6099999999</v>
      </c>
      <c r="J17" s="400">
        <f>J$15-J$16+IF(AND(OR('Company Information'!$C$12="District of Columbia",'Company Information'!$C$12="Massachusetts",'Company Information'!$C$12="Vermont"),SUM($H$6:$K$11,$H$15:$K$16,$H$38:$I$38)&lt;&gt;0),E$15-E$16,0)</f>
        <v>685230.4753770493</v>
      </c>
      <c r="K17" s="400">
        <f>K$15-K$16+IF(AND(OR('Company Information'!$C$12="District of Columbia",'Company Information'!$C$12="Massachusetts",'Company Information'!$C$12="Vermont"),SUM($H$6:$K$11,$H$15:$K$16,$H$38:$I$38)&lt;&gt;0),F$15-F$16,0)</f>
        <v>4260397.8253770499</v>
      </c>
      <c r="L17" s="450"/>
      <c r="M17" s="399">
        <f>M$15-M$16</f>
        <v>3390</v>
      </c>
      <c r="N17" s="400">
        <f>N$15-N$16</f>
        <v>0.06</v>
      </c>
      <c r="O17" s="400">
        <f>O$15-O$16</f>
        <v>0</v>
      </c>
      <c r="P17" s="400">
        <f>P$15-P$16</f>
        <v>3390.06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144</v>
      </c>
      <c r="I38" s="405">
        <v>89.92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36.583333333333336</v>
      </c>
      <c r="K38" s="432">
        <f>SUM(H$38:J$38)+IF(AND(OR('Company Information'!$C$12="District of Columbia",'Company Information'!$C$12="Massachusetts",'Company Information'!$C$12="Vermont"),SUM($H$6:$K$11,$H$15:$K$16,$H$38:$I$38)&lt;&gt;0,SUM(H$38:I$38)&lt;&gt;SUM(C$38:D$38)),SUM(C$38:D$38),0)</f>
        <v>270.50333333333333</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1115</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32143</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