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T39" i="10"/>
  <c r="P39" i="10"/>
  <c r="AB38" i="10"/>
  <c r="AA38" i="10"/>
  <c r="X38" i="10"/>
  <c r="W38" i="10"/>
  <c r="T38" i="10"/>
  <c r="S38" i="10"/>
  <c r="P38" i="10"/>
  <c r="O38" i="10"/>
  <c r="L32" i="10"/>
  <c r="L27" i="10"/>
  <c r="L24" i="10"/>
  <c r="L23" i="10"/>
  <c r="L20" i="10"/>
  <c r="L19" i="10"/>
  <c r="L22" i="10" s="1"/>
  <c r="L30" i="10" s="1"/>
  <c r="L31" i="10" s="1"/>
  <c r="AB17" i="10"/>
  <c r="AA17" i="10"/>
  <c r="Z17" i="10"/>
  <c r="AB13" i="10" s="1"/>
  <c r="Y17" i="10"/>
  <c r="X17" i="10"/>
  <c r="W17" i="10"/>
  <c r="V17" i="10"/>
  <c r="U17" i="10"/>
  <c r="T17" i="10"/>
  <c r="S17" i="10"/>
  <c r="R17" i="10"/>
  <c r="Q17" i="10"/>
  <c r="P17" i="10"/>
  <c r="O17" i="10"/>
  <c r="N17" i="10"/>
  <c r="M17" i="10"/>
  <c r="P12" i="10" s="1"/>
  <c r="AB16" i="10"/>
  <c r="AA16" i="10"/>
  <c r="X16" i="10"/>
  <c r="W16" i="10"/>
  <c r="T16" i="10"/>
  <c r="S16" i="10"/>
  <c r="P16" i="10"/>
  <c r="O16" i="10"/>
  <c r="L16" i="10"/>
  <c r="K16" i="10"/>
  <c r="J16" i="10"/>
  <c r="G16" i="10"/>
  <c r="F16" i="10"/>
  <c r="E16" i="10"/>
  <c r="AB15" i="10"/>
  <c r="AA15" i="10"/>
  <c r="X15" i="10"/>
  <c r="W15" i="10"/>
  <c r="T15" i="10"/>
  <c r="S15" i="10"/>
  <c r="P15" i="10"/>
  <c r="O15" i="10"/>
  <c r="L15" i="10"/>
  <c r="AA13" i="10"/>
  <c r="Z13" i="10"/>
  <c r="Y13" i="10"/>
  <c r="W13" i="10"/>
  <c r="Q13"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AA22" i="4" s="1"/>
  <c r="Z55" i="18"/>
  <c r="Y55" i="18"/>
  <c r="X55" i="18"/>
  <c r="W55" i="18"/>
  <c r="V55" i="18"/>
  <c r="U55" i="18"/>
  <c r="T55" i="18"/>
  <c r="S55" i="18"/>
  <c r="R55" i="18"/>
  <c r="Q55" i="18"/>
  <c r="P55" i="18"/>
  <c r="P22" i="4" s="1"/>
  <c r="O55" i="18"/>
  <c r="N55" i="18"/>
  <c r="M55" i="18"/>
  <c r="L55" i="18"/>
  <c r="K55" i="18"/>
  <c r="J55" i="18"/>
  <c r="I55" i="18"/>
  <c r="H55" i="18"/>
  <c r="G55" i="18"/>
  <c r="F55" i="18"/>
  <c r="E55" i="18"/>
  <c r="D55" i="18"/>
  <c r="D22" i="4" s="1"/>
  <c r="AU54" i="18"/>
  <c r="AT54" i="18"/>
  <c r="AS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Z22" i="4"/>
  <c r="Y22" i="4"/>
  <c r="X22" i="4"/>
  <c r="W22" i="4"/>
  <c r="V22" i="4"/>
  <c r="U22" i="4"/>
  <c r="T22" i="4"/>
  <c r="S22" i="4"/>
  <c r="R22" i="4"/>
  <c r="Q22" i="4"/>
  <c r="O22" i="4"/>
  <c r="N22" i="4"/>
  <c r="M22" i="4"/>
  <c r="L22" i="4"/>
  <c r="K22" i="4"/>
  <c r="J22" i="4"/>
  <c r="I22" i="4"/>
  <c r="H22" i="4"/>
  <c r="G22" i="4"/>
  <c r="F22" i="4"/>
  <c r="E22" i="4"/>
  <c r="AU12" i="4"/>
  <c r="AT12" i="4"/>
  <c r="AS12" i="4"/>
  <c r="AC12" i="4"/>
  <c r="AB12" i="4"/>
  <c r="AA12" i="4"/>
  <c r="Z12" i="4"/>
  <c r="Y12" i="4"/>
  <c r="X12" i="4"/>
  <c r="W12" i="4"/>
  <c r="V12" i="4"/>
  <c r="U12" i="4"/>
  <c r="T12" i="4"/>
  <c r="S12" i="4"/>
  <c r="R12" i="4"/>
  <c r="Q12" i="4"/>
  <c r="P12" i="4"/>
  <c r="O12" i="4"/>
  <c r="N12" i="4"/>
  <c r="M12" i="4"/>
  <c r="L12" i="4"/>
  <c r="K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J15" i="10" l="1"/>
  <c r="E15" i="10"/>
  <c r="J7" i="10"/>
  <c r="G15" i="10"/>
  <c r="G32" i="10" s="1"/>
  <c r="K15" i="10"/>
  <c r="F15" i="10"/>
  <c r="E7" i="10"/>
  <c r="P47" i="10"/>
  <c r="AB39" i="10"/>
  <c r="X39" i="10"/>
  <c r="L29" i="10"/>
  <c r="L33" i="10" s="1"/>
  <c r="L34" i="10" s="1"/>
  <c r="L21" i="10"/>
  <c r="L26" i="10" s="1"/>
  <c r="L25" i="10" s="1"/>
  <c r="L28" i="10" s="1"/>
  <c r="T13" i="10"/>
  <c r="V13" i="10"/>
  <c r="X13" i="10"/>
  <c r="U13" i="10"/>
  <c r="R13" i="10"/>
  <c r="S13" i="10"/>
  <c r="G27" i="10" l="1"/>
  <c r="G24" i="10"/>
  <c r="G20" i="10"/>
  <c r="K7" i="10"/>
  <c r="J17" i="10" s="1"/>
  <c r="G19" i="10"/>
  <c r="G22" i="10" s="1"/>
  <c r="G21" i="10" s="1"/>
  <c r="G26" i="10" s="1"/>
  <c r="G25" i="10" s="1"/>
  <c r="G28" i="10" s="1"/>
  <c r="G23" i="10"/>
  <c r="F7" i="10"/>
  <c r="E38" i="10" s="1"/>
  <c r="G30" i="10" l="1"/>
  <c r="G31" i="10" s="1"/>
  <c r="G29" i="10" s="1"/>
  <c r="G33" i="10" s="1"/>
  <c r="G34" i="10" s="1"/>
  <c r="K17" i="10"/>
  <c r="H17" i="10"/>
  <c r="I12" i="10"/>
  <c r="H12" i="10"/>
  <c r="I17" i="10"/>
  <c r="I45" i="10" s="1"/>
  <c r="J12" i="10"/>
  <c r="J38" i="10"/>
  <c r="F38" i="10"/>
  <c r="D12" i="10"/>
  <c r="C12" i="10"/>
  <c r="C17" i="10"/>
  <c r="F17" i="10"/>
  <c r="D17" i="10"/>
  <c r="E12" i="10"/>
  <c r="E17" i="10"/>
  <c r="E45" i="10" s="1"/>
  <c r="K38" i="10" l="1"/>
  <c r="J45" i="10"/>
  <c r="H45" i="10"/>
  <c r="K12" i="10"/>
  <c r="D45" i="10"/>
  <c r="C45" i="10"/>
  <c r="F12" i="10"/>
  <c r="F45" i="10" s="1"/>
  <c r="F52" i="10"/>
  <c r="F39" i="10" l="1"/>
  <c r="F42" i="10" s="1"/>
  <c r="F47" i="10" s="1"/>
  <c r="F48" i="10" s="1"/>
  <c r="F51" i="10" s="1"/>
  <c r="F53" i="10" s="1"/>
  <c r="C11" i="16" s="1"/>
  <c r="K52" i="10"/>
  <c r="K53" i="10"/>
  <c r="D11" i="16" s="1"/>
  <c r="K45" i="10"/>
  <c r="K39" i="10"/>
  <c r="K42" i="10"/>
  <c r="K48" i="10" l="1"/>
  <c r="K51" i="10" s="1"/>
  <c r="K47" i="10"/>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<sst xmlns="http://schemas.openxmlformats.org/spreadsheetml/2006/main" count="572" uniqueCount="511">
  <si>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</si>
  <si>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</si>
  <si>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</si>
  <si>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</si>
  <si>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</si>
  <si>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</si>
  <si>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</si>
  <si>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</si>
  <si>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</si>
  <si>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</si>
  <si>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</si>
  <si>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</si>
  <si>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</si>
  <si>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</si>
  <si>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</si>
  <si>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</si>
  <si>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</si>
  <si>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</si>
  <si>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</si>
  <si>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</si>
  <si>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</si>
  <si>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</si>
  <si>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</si>
  <si>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</si>
  <si>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</si>
  <si>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</si>
  <si>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</si>
  <si>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</si>
  <si>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</si>
  <si>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</si>
  <si>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</si>
  <si>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</si>
  <si>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</si>
  <si>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</si>
  <si>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</si>
  <si>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</si>
  <si>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</si>
  <si>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</si>
  <si>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</si>
  <si>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</si>
  <si>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</si>
  <si>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</si>
  <si>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</si>
  <si>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</si>
  <si>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</si>
  <si>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</si>
  <si>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</si>
  <si>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</si>
  <si>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</si>
  <si>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</si>
  <si>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</si>
  <si>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</si>
  <si>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</si>
  <si>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</si>
  <si>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</si>
  <si>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</si>
  <si>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</si>
  <si>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</si>
  <si>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</si>
  <si>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</si>
  <si>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</si>
  <si>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</si>
  <si>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</si>
  <si>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</si>
  <si>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</si>
  <si>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</si>
  <si>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</si>
  <si>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</si>
  <si>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</si>
  <si>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</si>
  <si>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</si>
  <si>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</si>
  <si>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</si>
  <si>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</si>
  <si>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</si>
  <si>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</si>
  <si>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</si>
  <si>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</si>
  <si>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</si>
  <si>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</si>
  <si>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</si>
  <si>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</si>
  <si>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</si>
  <si>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</si>
  <si>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</si>
  <si>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</si>
  <si>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</si>
  <si>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</si>
  <si>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</si>
  <si>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</si>
  <si>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</si>
  <si>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</si>
  <si>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</si>
  <si>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</si>
  <si>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</si>
  <si>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</si>
  <si>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</si>
  <si>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</si>
  <si>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</si>
  <si>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</si>
  <si>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</si>
  <si>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</si>
  <si>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</si>
  <si>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</si>
  <si>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</si>
  <si>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</si>
  <si>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</si>
  <si>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</si>
  <si>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</si>
  <si>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</si>
  <si>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</si>
  <si>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</si>
  <si>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</si>
  <si>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</si>
  <si>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</si>
  <si>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</si>
  <si>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</si>
  <si>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</si>
  <si>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</si>
  <si>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</si>
  <si>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</si>
  <si>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</si>
  <si>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</si>
  <si>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</si>
  <si>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</si>
  <si>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</si>
  <si>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</si>
  <si>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</si>
  <si>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</si>
  <si>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</si>
  <si>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</si>
  <si>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</si>
  <si>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</si>
  <si>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</si>
  <si>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</si>
  <si>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</si>
  <si>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</si>
  <si>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</si>
  <si>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</si>
  <si>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</si>
  <si>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</si>
  <si>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</si>
  <si>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</si>
  <si>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</si>
  <si>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</si>
  <si>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</si>
  <si>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</si>
  <si>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</si>
  <si>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</si>
  <si>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</si>
  <si>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</si>
  <si>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</si>
  <si>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</si>
  <si>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</si>
  <si>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</si>
  <si>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</si>
  <si>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</si>
  <si>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</si>
  <si>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</si>
  <si>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</si>
  <si>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</si>
  <si>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</si>
  <si>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</si>
  <si>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</si>
  <si>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</si>
  <si>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</si>
  <si>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</si>
  <si>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</si>
  <si>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</si>
  <si>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</si>
  <si>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</si>
  <si>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</si>
  <si>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</si>
  <si>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</si>
  <si>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</si>
  <si>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</si>
  <si>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</si>
  <si>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</si>
  <si>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</si>
  <si>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</si>
  <si>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</si>
  <si>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</si>
  <si>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</si>
  <si>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</si>
  <si>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</si>
  <si>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</si>
  <si>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</si>
  <si>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</si>
  <si>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</si>
  <si>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</si>
  <si>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</si>
  <si>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</si>
  <si>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</si>
  <si>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</si>
  <si>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</si>
  <si>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</si>
  <si>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</si>
  <si>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</si>
  <si>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</si>
  <si>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</si>
  <si>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</si>
  <si>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</si>
  <si>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</si>
  <si>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</si>
  <si>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</si>
  <si>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</si>
  <si>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</si>
  <si>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</si>
  <si>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</si>
  <si>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</si>
  <si>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</si>
  <si>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</si>
  <si>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</si>
  <si>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</si>
  <si>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</si>
  <si>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</si>
  <si>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</si>
  <si>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</si>
  <si>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</si>
  <si>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</si>
  <si>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</si>
  <si>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</si>
  <si>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</si>
  <si>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</si>
  <si>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</si>
  <si>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</si>
  <si>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</si>
  <si>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</si>
  <si>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</si>
  <si>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</si>
  <si>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</si>
  <si>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</si>
  <si>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</si>
  <si>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</si>
  <si>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</si>
  <si>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</si>
  <si>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</si>
  <si>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</si>
  <si>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</si>
  <si>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</si>
  <si>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</si>
  <si>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</si>
  <si>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</si>
  <si>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</si>
  <si>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</si>
  <si>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</si>
  <si>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</si>
  <si>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</si>
  <si>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</si>
  <si>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</si>
  <si>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</si>
  <si>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</si>
  <si>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</si>
  <si>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</si>
  <si>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</si>
  <si>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</si>
  <si>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</si>
  <si>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</si>
  <si>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</si>
  <si>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</si>
  <si>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</si>
  <si>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</si>
  <si>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</si>
  <si>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</si>
  <si>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</si>
  <si>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</si>
  <si>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</si>
  <si>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</si>
  <si>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</si>
  <si>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</si>
  <si>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</si>
  <si>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</si>
  <si>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</si>
  <si>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</si>
  <si>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</si>
  <si>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</si>
  <si>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</si>
  <si>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</si>
  <si>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</si>
  <si>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</si>
  <si>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</si>
  <si>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</si>
  <si>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</si>
  <si>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</si>
  <si>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</si>
  <si>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</si>
  <si>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</si>
  <si>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</si>
  <si>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</si>
  <si>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</si>
  <si>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</si>
  <si>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</si>
  <si>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</si>
  <si>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</si>
  <si>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</si>
  <si>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</si>
  <si>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</si>
  <si>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</si>
  <si>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</si>
  <si>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</si>
  <si>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</si>
  <si>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</si>
  <si>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</si>
  <si>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</si>
  <si>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</si>
  <si>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</si>
  <si>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</si>
  <si>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</si>
  <si>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</si>
  <si>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</si>
  <si>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</si>
  <si>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</si>
  <si>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</si>
  <si>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</si>
  <si>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</si>
  <si>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</si>
  <si>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</si>
  <si>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</si>
  <si>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</si>
  <si>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</si>
  <si>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</si>
  <si>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</si>
  <si>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</si>
  <si>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</si>
  <si>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</si>
  <si>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</si>
  <si>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</si>
  <si>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</si>
  <si>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</si>
  <si>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</si>
  <si>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</si>
  <si>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</si>
  <si>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</si>
  <si>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</si>
  <si>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</si>
  <si>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</si>
  <si>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</si>
  <si>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</si>
  <si>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</si>
  <si>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</si>
  <si>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</si>
  <si>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</si>
  <si>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</si>
  <si>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</si>
  <si>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</si>
  <si>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</si>
  <si>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</si>
  <si>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</si>
  <si>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</si>
  <si>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</si>
  <si>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</si>
  <si>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</si>
  <si>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</si>
  <si>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</si>
  <si>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</si>
  <si>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</si>
  <si>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</si>
  <si>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</si>
  <si>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</si>
  <si>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</si>
  <si>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</si>
  <si>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</si>
  <si>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</si>
  <si>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</si>
  <si>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</si>
  <si>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</si>
  <si>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</si>
  <si>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</si>
  <si>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</si>
  <si>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</si>
  <si>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</si>
  <si>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</si>
  <si>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</si>
  <si>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</si>
  <si>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</si>
  <si>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</si>
  <si>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</si>
  <si>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</si>
  <si>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</si>
  <si>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</si>
  <si>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</si>
  <si>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</si>
  <si>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</si>
  <si>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</si>
  <si>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</si>
  <si>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</si>
  <si>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</si>
  <si>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</si>
  <si>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</si>
  <si>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</si>
  <si>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</si>
  <si>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</si>
  <si>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</si>
  <si>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</si>
  <si>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</si>
  <si>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</si>
  <si>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</si>
  <si>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</si>
  <si>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</si>
  <si>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</si>
  <si>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</si>
  <si>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</si>
  <si>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</si>
  <si>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</si>
  <si>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</si>
  <si>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</si>
  <si>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</si>
  <si>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</si>
  <si>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</si>
  <si>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</si>
  <si>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</si>
  <si>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</si>
  <si>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</si>
  <si>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</si>
  <si>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</si>
  <si>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</si>
  <si>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</si>
  <si>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</si>
  <si>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</si>
  <si>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</si>
  <si>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</si>
  <si>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</si>
  <si>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</si>
  <si>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</si>
  <si>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</si>
  <si>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</si>
  <si>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</si>
  <si>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</si>
  <si>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</si>
  <si>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</si>
  <si>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</si>
  <si>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</si>
  <si>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</si>
  <si>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</si>
  <si>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</si>
  <si>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</si>
  <si>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</si>
  <si>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</si>
  <si>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</si>
  <si>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</si>
  <si>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</si>
  <si>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</si>
  <si>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</si>
  <si>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</si>
  <si>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</si>
  <si>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</si>
  <si>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</si>
  <si>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</si>
  <si>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</si>
  <si>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</si>
  <si>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</si>
  <si>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</si>
  <si>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</si>
  <si>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</si>
  <si>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</si>
  <si>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</si>
  <si>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</si>
  <si>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</si>
  <si>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</si>
  <si>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</si>
  <si>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</si>
  <si>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</si>
  <si>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</si>
  <si>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</si>
  <si>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</si>
  <si>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</si>
  <si>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</si>
  <si>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</si>
  <si>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</si>
  <si>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</si>
  <si>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</si>
  <si>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</si>
  <si>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</si>
  <si>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</si>
  <si>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</si>
  <si>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</si>
  <si>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</si>
  <si>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</si>
  <si>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</si>
  <si>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</si>
  <si>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</si>
  <si>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</si>
  <si>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</si>
  <si>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</si>
  <si>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</si>
  <si>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</si>
  <si>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</si>
  <si>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</si>
  <si>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</si>
  <si>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</si>
  <si>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</si>
  <si>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</si>
  <si>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</si>
  <si>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</si>
  <si>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</si>
  <si>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</si>
  <si>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</si>
  <si>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</si>
  <si>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</si>
  <si>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</si>
  <si>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</si>
  <si>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</si>
  <si>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</si>
  <si>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</si>
  <si>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</si>
  <si>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15980</t>
  </si>
  <si>
    <t>219</t>
  </si>
  <si>
    <t>Humana Medical Plan, Inc.</t>
  </si>
  <si>
    <t>Humana Health Insurance Company of Florida,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</si>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</sst>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145</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1149928</v>
      </c>
      <c r="E5" s="213">
        <f>SUM('Pt 2 Premium and Claims'!E$5,'Pt 2 Premium and Claims'!E$6,-'Pt 2 Premium and Claims'!E$7,-'Pt 2 Premium and Claims'!E$13,'Pt 2 Premium and Claims'!E$14:'Pt 2 Premium and Claims'!E$17)</f>
        <v>44319.53</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72882930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-17</v>
      </c>
      <c r="E7" s="217">
        <v>-16.809999999999999</v>
      </c>
      <c r="F7" s="217"/>
      <c r="G7" s="217"/>
      <c r="H7" s="217"/>
      <c r="I7" s="216"/>
      <c r="J7" s="216">
        <v>0</v>
      </c>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-510</v>
      </c>
      <c r="AU7" s="220">
        <v>0</v>
      </c>
      <c r="AV7" s="290"/>
      <c r="AW7" s="297"/>
    </row>
    <row r="8" spans="1:49" ht="25.5" x14ac:dyDescent="0.2">
      <c r="B8" s="239" t="s">
        <v>225</v>
      </c>
      <c r="C8" s="203" t="s">
        <v>59</v>
      </c>
      <c r="D8" s="216">
        <v>-295</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-448152</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-9272220</v>
      </c>
      <c r="E12" s="213">
        <f>'Pt 2 Premium and Claims'!E$54</f>
        <v>-11362466.135399999</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46597041</v>
      </c>
      <c r="AU12" s="214">
        <f>'Pt 2 Premium and Claims'!AU$54</f>
        <v>0</v>
      </c>
      <c r="AV12" s="291"/>
      <c r="AW12" s="296"/>
    </row>
    <row r="13" spans="1:49" ht="25.5" x14ac:dyDescent="0.2">
      <c r="B13" s="239" t="s">
        <v>230</v>
      </c>
      <c r="C13" s="203" t="s">
        <v>37</v>
      </c>
      <c r="D13" s="216">
        <v>-5958</v>
      </c>
      <c r="E13" s="217">
        <v>6611.38</v>
      </c>
      <c r="F13" s="217"/>
      <c r="G13" s="268"/>
      <c r="H13" s="269"/>
      <c r="I13" s="216"/>
      <c r="J13" s="216">
        <v>0</v>
      </c>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140313</v>
      </c>
      <c r="AU13" s="220">
        <v>0</v>
      </c>
      <c r="AV13" s="290"/>
      <c r="AW13" s="297"/>
    </row>
    <row r="14" spans="1:49" ht="25.5" x14ac:dyDescent="0.2">
      <c r="B14" s="239" t="s">
        <v>231</v>
      </c>
      <c r="C14" s="203" t="s">
        <v>6</v>
      </c>
      <c r="D14" s="216">
        <v>-17090</v>
      </c>
      <c r="E14" s="217">
        <v>2383.3200000000002</v>
      </c>
      <c r="F14" s="217"/>
      <c r="G14" s="267"/>
      <c r="H14" s="270"/>
      <c r="I14" s="216"/>
      <c r="J14" s="216">
        <v>0</v>
      </c>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-10</v>
      </c>
      <c r="AU14" s="220">
        <v>0</v>
      </c>
      <c r="AV14" s="290"/>
      <c r="AW14" s="297"/>
    </row>
    <row r="15" spans="1:49" ht="38.25" x14ac:dyDescent="0.2">
      <c r="B15" s="239" t="s">
        <v>232</v>
      </c>
      <c r="C15" s="203" t="s">
        <v>7</v>
      </c>
      <c r="D15" s="216">
        <v>1</v>
      </c>
      <c r="E15" s="217">
        <v>0.81</v>
      </c>
      <c r="F15" s="217"/>
      <c r="G15" s="267"/>
      <c r="H15" s="273"/>
      <c r="I15" s="216"/>
      <c r="J15" s="216">
        <v>0</v>
      </c>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41</v>
      </c>
      <c r="AU15" s="220">
        <v>0</v>
      </c>
      <c r="AV15" s="290"/>
      <c r="AW15" s="297"/>
    </row>
    <row r="16" spans="1:49" ht="25.5" x14ac:dyDescent="0.2">
      <c r="B16" s="239" t="s">
        <v>233</v>
      </c>
      <c r="C16" s="203" t="s">
        <v>61</v>
      </c>
      <c r="D16" s="216">
        <v>337541</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-302996</v>
      </c>
      <c r="AU16" s="220">
        <v>0</v>
      </c>
      <c r="AV16" s="290"/>
      <c r="AW16" s="297"/>
    </row>
    <row r="17" spans="1:49" x14ac:dyDescent="0.2">
      <c r="B17" s="239" t="s">
        <v>234</v>
      </c>
      <c r="C17" s="203" t="s">
        <v>62</v>
      </c>
      <c r="D17" s="216">
        <v>-1565784</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5296955</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3744057</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14.71</v>
      </c>
      <c r="E22" s="222">
        <f>'Pt 2 Premium and Claims'!E$55</f>
        <v>14.71</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951978.56</v>
      </c>
      <c r="E25" s="217">
        <v>951979.44029475178</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2491882.0299999998</v>
      </c>
      <c r="AU25" s="220"/>
      <c r="AV25" s="220"/>
      <c r="AW25" s="297"/>
    </row>
    <row r="26" spans="1:49" s="5" customFormat="1" x14ac:dyDescent="0.2">
      <c r="A26" s="35"/>
      <c r="B26" s="242" t="s">
        <v>242</v>
      </c>
      <c r="C26" s="203"/>
      <c r="D26" s="216">
        <v>25179.16</v>
      </c>
      <c r="E26" s="217">
        <v>25179.16</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1142.1600000000001</v>
      </c>
      <c r="AU26" s="220"/>
      <c r="AV26" s="220"/>
      <c r="AW26" s="297"/>
    </row>
    <row r="27" spans="1:49" s="5" customFormat="1" x14ac:dyDescent="0.2">
      <c r="B27" s="242" t="s">
        <v>243</v>
      </c>
      <c r="C27" s="203"/>
      <c r="D27" s="216">
        <v>-6763.43</v>
      </c>
      <c r="E27" s="217">
        <v>-6763.43</v>
      </c>
      <c r="F27" s="217"/>
      <c r="G27" s="217"/>
      <c r="H27" s="217"/>
      <c r="I27" s="216"/>
      <c r="J27" s="216"/>
      <c r="K27" s="217"/>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1212955.18</v>
      </c>
      <c r="AU27" s="220"/>
      <c r="AV27" s="293"/>
      <c r="AW27" s="297"/>
    </row>
    <row r="28" spans="1:49" s="5" customFormat="1" x14ac:dyDescent="0.2">
      <c r="A28" s="35"/>
      <c r="B28" s="242" t="s">
        <v>244</v>
      </c>
      <c r="C28" s="203"/>
      <c r="D28" s="216">
        <v>-20948.11</v>
      </c>
      <c r="E28" s="217">
        <v>-20948.11</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274598.5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71040.95</v>
      </c>
      <c r="E30" s="217">
        <v>71041.018885129422</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227475.53</v>
      </c>
      <c r="AU30" s="220"/>
      <c r="AV30" s="220"/>
      <c r="AW30" s="297"/>
    </row>
    <row r="31" spans="1:49" x14ac:dyDescent="0.2">
      <c r="B31" s="242" t="s">
        <v>247</v>
      </c>
      <c r="C31" s="203"/>
      <c r="D31" s="216">
        <v>48.88</v>
      </c>
      <c r="E31" s="217">
        <v>48.88</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1413983.49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1417.68</v>
      </c>
      <c r="E34" s="217">
        <v>1417.68</v>
      </c>
      <c r="F34" s="217"/>
      <c r="G34" s="217"/>
      <c r="H34" s="217"/>
      <c r="I34" s="216"/>
      <c r="J34" s="216"/>
      <c r="K34" s="217"/>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-6357.12</v>
      </c>
      <c r="E35" s="217">
        <v>-6357.12</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175579.94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233742</v>
      </c>
      <c r="E37" s="225">
        <v>233741.62</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2316</v>
      </c>
      <c r="AU37" s="226">
        <v>0</v>
      </c>
      <c r="AV37" s="226">
        <v>237012</v>
      </c>
      <c r="AW37" s="296"/>
    </row>
    <row r="38" spans="1:49" x14ac:dyDescent="0.2">
      <c r="B38" s="239" t="s">
        <v>254</v>
      </c>
      <c r="C38" s="203" t="s">
        <v>16</v>
      </c>
      <c r="D38" s="216">
        <v>235247</v>
      </c>
      <c r="E38" s="217">
        <v>235247.04</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26</v>
      </c>
      <c r="AU38" s="220">
        <v>0</v>
      </c>
      <c r="AV38" s="220">
        <v>214210</v>
      </c>
      <c r="AW38" s="297"/>
    </row>
    <row r="39" spans="1:49" x14ac:dyDescent="0.2">
      <c r="B39" s="242" t="s">
        <v>255</v>
      </c>
      <c r="C39" s="203" t="s">
        <v>17</v>
      </c>
      <c r="D39" s="216">
        <v>37211</v>
      </c>
      <c r="E39" s="217">
        <v>37211.29</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1998</v>
      </c>
      <c r="AU39" s="220">
        <v>0</v>
      </c>
      <c r="AV39" s="220">
        <v>50767</v>
      </c>
      <c r="AW39" s="297"/>
    </row>
    <row r="40" spans="1:49" x14ac:dyDescent="0.2">
      <c r="B40" s="242" t="s">
        <v>256</v>
      </c>
      <c r="C40" s="203" t="s">
        <v>38</v>
      </c>
      <c r="D40" s="216">
        <v>150298</v>
      </c>
      <c r="E40" s="217">
        <v>150297.78</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39522</v>
      </c>
      <c r="AU40" s="220">
        <v>0</v>
      </c>
      <c r="AV40" s="220">
        <v>177530</v>
      </c>
      <c r="AW40" s="297"/>
    </row>
    <row r="41" spans="1:49" s="5" customFormat="1" ht="25.5" x14ac:dyDescent="0.2">
      <c r="A41" s="35"/>
      <c r="B41" s="242" t="s">
        <v>257</v>
      </c>
      <c r="C41" s="203" t="s">
        <v>129</v>
      </c>
      <c r="D41" s="216">
        <v>272</v>
      </c>
      <c r="E41" s="217">
        <v>271.98</v>
      </c>
      <c r="F41" s="217"/>
      <c r="G41" s="217"/>
      <c r="H41" s="217"/>
      <c r="I41" s="216"/>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176235</v>
      </c>
      <c r="AU41" s="220">
        <v>0</v>
      </c>
      <c r="AV41" s="220">
        <v>13769</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-26371</v>
      </c>
      <c r="E44" s="225">
        <v>-26371.27</v>
      </c>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490614</v>
      </c>
      <c r="AU44" s="226">
        <v>0</v>
      </c>
      <c r="AV44" s="226">
        <v>192633</v>
      </c>
      <c r="AW44" s="296"/>
    </row>
    <row r="45" spans="1:49" x14ac:dyDescent="0.2">
      <c r="B45" s="245" t="s">
        <v>261</v>
      </c>
      <c r="C45" s="203" t="s">
        <v>19</v>
      </c>
      <c r="D45" s="216">
        <v>-102061</v>
      </c>
      <c r="E45" s="217">
        <v>-102061.05</v>
      </c>
      <c r="F45" s="217"/>
      <c r="G45" s="217"/>
      <c r="H45" s="217"/>
      <c r="I45" s="216"/>
      <c r="J45" s="216">
        <v>0</v>
      </c>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502603</v>
      </c>
      <c r="AU45" s="220">
        <v>0</v>
      </c>
      <c r="AV45" s="220">
        <v>70333</v>
      </c>
      <c r="AW45" s="297"/>
    </row>
    <row r="46" spans="1:49" x14ac:dyDescent="0.2">
      <c r="B46" s="245" t="s">
        <v>262</v>
      </c>
      <c r="C46" s="203" t="s">
        <v>20</v>
      </c>
      <c r="D46" s="216">
        <v>13</v>
      </c>
      <c r="E46" s="217">
        <v>12.76</v>
      </c>
      <c r="F46" s="217"/>
      <c r="G46" s="217"/>
      <c r="H46" s="217"/>
      <c r="I46" s="216"/>
      <c r="J46" s="216">
        <v>0</v>
      </c>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700619</v>
      </c>
      <c r="AU46" s="220">
        <v>0</v>
      </c>
      <c r="AV46" s="220">
        <v>100899</v>
      </c>
      <c r="AW46" s="297"/>
    </row>
    <row r="47" spans="1:49" x14ac:dyDescent="0.2">
      <c r="B47" s="245" t="s">
        <v>263</v>
      </c>
      <c r="C47" s="203" t="s">
        <v>21</v>
      </c>
      <c r="D47" s="216">
        <v>56487</v>
      </c>
      <c r="E47" s="217">
        <v>56487.14</v>
      </c>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10393062</v>
      </c>
      <c r="AU47" s="220">
        <v>0</v>
      </c>
      <c r="AV47" s="220">
        <v>270678</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11930.28</v>
      </c>
      <c r="E49" s="217">
        <v>11930.28</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73471.789999999994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-674021</v>
      </c>
      <c r="E51" s="217">
        <v>-674021.49</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3745567</v>
      </c>
      <c r="AU51" s="220">
        <v>0</v>
      </c>
      <c r="AV51" s="220">
        <v>794548</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2</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230968</v>
      </c>
      <c r="AU56" s="230">
        <v>0</v>
      </c>
      <c r="AV56" s="230">
        <v>1060</v>
      </c>
      <c r="AW56" s="288"/>
    </row>
    <row r="57" spans="2:49" x14ac:dyDescent="0.2">
      <c r="B57" s="245" t="s">
        <v>272</v>
      </c>
      <c r="C57" s="203" t="s">
        <v>25</v>
      </c>
      <c r="D57" s="231">
        <v>0</v>
      </c>
      <c r="E57" s="232">
        <v>3</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385597</v>
      </c>
      <c r="AU57" s="233">
        <v>0</v>
      </c>
      <c r="AV57" s="233">
        <v>1896</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6534</v>
      </c>
      <c r="AU58" s="233">
        <v>0</v>
      </c>
      <c r="AV58" s="233">
        <v>1</v>
      </c>
      <c r="AW58" s="289"/>
    </row>
    <row r="59" spans="2:49" x14ac:dyDescent="0.2">
      <c r="B59" s="245" t="s">
        <v>274</v>
      </c>
      <c r="C59" s="203" t="s">
        <v>27</v>
      </c>
      <c r="D59" s="231">
        <v>440</v>
      </c>
      <c r="E59" s="232">
        <v>37</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4509793</v>
      </c>
      <c r="AU59" s="233">
        <v>0</v>
      </c>
      <c r="AV59" s="233">
        <v>25515</v>
      </c>
      <c r="AW59" s="289"/>
    </row>
    <row r="60" spans="2:49" x14ac:dyDescent="0.2">
      <c r="B60" s="245" t="s">
        <v>275</v>
      </c>
      <c r="C60" s="203"/>
      <c r="D60" s="234">
        <f t="shared" ref="D60:AC60" si="0">D$59/12</f>
        <v>36.666666666666664</v>
      </c>
      <c r="E60" s="235">
        <f t="shared" si="0"/>
        <v>3.0833333333333335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375816.08333333331</v>
      </c>
      <c r="AU60" s="236">
        <f>AU$59/12</f>
        <v>0</v>
      </c>
      <c r="AV60" s="236">
        <f>AV$59/12</f>
        <v>2126.25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1149928</v>
      </c>
      <c r="E5" s="326">
        <v>44598.83</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72924363</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470796</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512229</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5296955</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3744057</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-279.3</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-422840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7335779</v>
      </c>
      <c r="E23" s="362"/>
      <c r="F23" s="362"/>
      <c r="G23" s="362"/>
      <c r="H23" s="362"/>
      <c r="I23" s="364"/>
      <c r="J23" s="318">
        <v>7712</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46304348</v>
      </c>
      <c r="AU23" s="321">
        <v>0</v>
      </c>
      <c r="AV23" s="368"/>
      <c r="AW23" s="374"/>
    </row>
    <row r="24" spans="2:49" ht="28.5" customHeight="1" x14ac:dyDescent="0.2">
      <c r="B24" s="345" t="s">
        <v>114</v>
      </c>
      <c r="C24" s="331"/>
      <c r="D24" s="365"/>
      <c r="E24" s="319">
        <v>314829.09000000003</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95259</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3656910</v>
      </c>
      <c r="AU26" s="321">
        <v>0</v>
      </c>
      <c r="AV26" s="368"/>
      <c r="AW26" s="374"/>
    </row>
    <row r="27" spans="2:49" s="5" customFormat="1" ht="25.5" x14ac:dyDescent="0.2">
      <c r="B27" s="345" t="s">
        <v>85</v>
      </c>
      <c r="C27" s="331"/>
      <c r="D27" s="365"/>
      <c r="E27" s="319">
        <v>-10972.1754</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6707644</v>
      </c>
      <c r="E28" s="363"/>
      <c r="F28" s="363"/>
      <c r="G28" s="363"/>
      <c r="H28" s="363"/>
      <c r="I28" s="365"/>
      <c r="J28" s="318">
        <v>11474</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3289326</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1977</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150757</v>
      </c>
      <c r="AU30" s="321">
        <v>0</v>
      </c>
      <c r="AV30" s="368"/>
      <c r="AW30" s="374"/>
    </row>
    <row r="31" spans="2:49" s="5" customFormat="1" ht="25.5" x14ac:dyDescent="0.2">
      <c r="B31" s="345" t="s">
        <v>84</v>
      </c>
      <c r="C31" s="331"/>
      <c r="D31" s="365"/>
      <c r="E31" s="319">
        <v>1977</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226189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5168564</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375</v>
      </c>
      <c r="AU34" s="321">
        <v>0</v>
      </c>
      <c r="AV34" s="368"/>
      <c r="AW34" s="374"/>
    </row>
    <row r="35" spans="2:49" s="5" customFormat="1" x14ac:dyDescent="0.2">
      <c r="B35" s="345" t="s">
        <v>91</v>
      </c>
      <c r="C35" s="331"/>
      <c r="D35" s="365"/>
      <c r="E35" s="319">
        <v>5168563.5999999996</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16834480</v>
      </c>
      <c r="E36" s="319">
        <v>16834480.329999998</v>
      </c>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5296955</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3744057</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-18115</v>
      </c>
      <c r="E49" s="319">
        <v>2383.3200000000002</v>
      </c>
      <c r="F49" s="319"/>
      <c r="G49" s="319"/>
      <c r="H49" s="319"/>
      <c r="I49" s="318"/>
      <c r="J49" s="318">
        <v>0</v>
      </c>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-163</v>
      </c>
      <c r="AU49" s="321">
        <v>0</v>
      </c>
      <c r="AV49" s="368"/>
      <c r="AW49" s="374"/>
    </row>
    <row r="50" spans="2:49" x14ac:dyDescent="0.2">
      <c r="B50" s="343" t="s">
        <v>119</v>
      </c>
      <c r="C50" s="331" t="s">
        <v>34</v>
      </c>
      <c r="D50" s="318">
        <v>97312</v>
      </c>
      <c r="E50" s="363"/>
      <c r="F50" s="363"/>
      <c r="G50" s="363"/>
      <c r="H50" s="363"/>
      <c r="I50" s="365"/>
      <c r="J50" s="318">
        <v>3762</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3</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-9272220</v>
      </c>
      <c r="E54" s="323">
        <f>E24+E27+E31+E35-E36+E39+E42+E45+E46-E49+E51+E52+E53</f>
        <v>-11362466.135399999</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46597041</v>
      </c>
      <c r="AU54" s="324">
        <f>AU23+AU26-AU28+AU30-AU32+AU34-AU36+AU38+AU41-AU43+AU45+AU46-AU47-AU49+AU50+AU51+AU52+AU53</f>
        <v>0</v>
      </c>
      <c r="AV54" s="368"/>
      <c r="AW54" s="374"/>
    </row>
    <row r="55" spans="2:49" ht="25.5" x14ac:dyDescent="0.2">
      <c r="B55" s="348" t="s">
        <v>493</v>
      </c>
      <c r="C55" s="335" t="s">
        <v>28</v>
      </c>
      <c r="D55" s="322">
        <f t="shared" ref="D55:AC55" si="0">MIN(MAX(0,D56),MAX(0,D57))</f>
        <v>14.71</v>
      </c>
      <c r="E55" s="323">
        <f t="shared" si="0"/>
        <v>14.71</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14.71</v>
      </c>
      <c r="E56" s="319">
        <v>14.71</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105757</v>
      </c>
      <c r="E57" s="319">
        <v>105756.62</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73580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44275855.530000001</v>
      </c>
      <c r="D5" s="403">
        <v>44286761.43</v>
      </c>
      <c r="E5" s="454"/>
      <c r="F5" s="454"/>
      <c r="G5" s="448"/>
      <c r="H5" s="402"/>
      <c r="I5" s="403">
        <v>0</v>
      </c>
      <c r="J5" s="454"/>
      <c r="K5" s="454"/>
      <c r="L5" s="448"/>
      <c r="M5" s="402"/>
      <c r="N5" s="403">
        <v>3918.62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44349420.817000002</v>
      </c>
      <c r="D6" s="398">
        <v>44027756.672499999</v>
      </c>
      <c r="E6" s="400">
        <f>SUM('Pt 1 Summary of Data'!E$12,'Pt 1 Summary of Data'!E$22)+SUM('Pt 1 Summary of Data'!G$12,'Pt 1 Summary of Data'!G$22)-SUM('Pt 1 Summary of Data'!H$12,'Pt 1 Summary of Data'!H$22)</f>
        <v>-11362451.425399998</v>
      </c>
      <c r="F6" s="400">
        <f t="shared" ref="F6:F11" si="0">SUM(C6:E6)</f>
        <v>77014726.064099997</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v>0</v>
      </c>
      <c r="N6" s="398">
        <v>3775.860112159206</v>
      </c>
      <c r="O6" s="400">
        <f>SUM('Pt 1 Summary of Data'!Q$12,'Pt 1 Summary of Data'!Q$22)+SUM('Pt 1 Summary of Data'!S$12,'Pt 1 Summary of Data'!S$22)-SUM('Pt 1 Summary of Data'!T$12,'Pt 1 Summary of Data'!T$22)</f>
        <v>0</v>
      </c>
      <c r="P6" s="400">
        <f>SUM(M6:O6)</f>
        <v>3775.860112159206</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1725766.73</v>
      </c>
      <c r="D7" s="398">
        <v>1279994.5900000001</v>
      </c>
      <c r="E7" s="400">
        <f>SUM('Pt 1 Summary of Data'!E$37:E$41)+SUM('Pt 1 Summary of Data'!G$37:G$41)-SUM('Pt 1 Summary of Data'!H$37:H$41)+MAX(0,MIN('Pt 1 Summary of Data'!E$42+'Pt 1 Summary of Data'!G$42-'Pt 1 Summary of Data'!H$42,0.3%*('Pt 1 Summary of Data'!E$5+'Pt 1 Summary of Data'!G$5-'Pt 1 Summary of Data'!H$5-SUM(E$9:E$11))))</f>
        <v>656769.71</v>
      </c>
      <c r="F7" s="400">
        <f t="shared" si="0"/>
        <v>3662531.0300000003</v>
      </c>
      <c r="G7" s="401">
        <f>SUM('Pt 1 Summary of Data'!I$37:I$41)+MAX(0,MIN(VALUE('Pt 1 Summary of Data'!I$42),0.3%*('Pt 1 Summary of Data'!I$5-SUM(G$9:G$10))))</f>
        <v>0</v>
      </c>
      <c r="H7" s="397"/>
      <c r="I7" s="398">
        <v>193.27</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193.27</v>
      </c>
      <c r="L7" s="401">
        <f>SUM('Pt 1 Summary of Data'!O$37:O$41)+MAX(0,MIN(VALUE('Pt 1 Summary of Data'!O$42),0.3%*('Pt 1 Summary of Data'!O$5-L$10)))</f>
        <v>0</v>
      </c>
      <c r="M7" s="397"/>
      <c r="N7" s="398">
        <v>0.61</v>
      </c>
      <c r="O7" s="400">
        <f>SUM('Pt 1 Summary of Data'!Q$37:Q$41)+SUM('Pt 1 Summary of Data'!S$37:S$41)-SUM('Pt 1 Summary of Data'!T$37:T$41)+MAX(0,MIN('Pt 1 Summary of Data'!Q$42+'Pt 1 Summary of Data'!S$42-'Pt 1 Summary of Data'!T$42,0.3%*('Pt 1 Summary of Data'!Q$5+'Pt 1 Summary of Data'!S$5-'Pt 1 Summary of Data'!T$5)))</f>
        <v>0</v>
      </c>
      <c r="P7" s="400">
        <f>SUM(M7:O7)</f>
        <v>0.61</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525858</v>
      </c>
      <c r="E9" s="400">
        <f>'Pt 2 Premium and Claims'!E$15+'Pt 2 Premium and Claims'!G$15-'Pt 2 Premium and Claims'!H$15</f>
        <v>0</v>
      </c>
      <c r="F9" s="400">
        <f t="shared" si="0"/>
        <v>525858</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427146.34</v>
      </c>
      <c r="E10" s="400">
        <f>'Pt 2 Premium and Claims'!E$16+'Pt 2 Premium and Claims'!G$16-'Pt 2 Premium and Claims'!H$16</f>
        <v>-279.3</v>
      </c>
      <c r="F10" s="400">
        <f t="shared" si="0"/>
        <v>426867.04000000004</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46075187.546999998</v>
      </c>
      <c r="D12" s="400">
        <f>SUM(D$6:D$7) - SUM(D$8:D$11)+IF(AND(OR('Company Information'!$C$12="District of Columbia",'Company Information'!$C$12="Massachusetts",'Company Information'!$C$12="Vermont"),SUM($C$6:$F$11,$C$15:$F$16,$C$38:$D$38)&lt;&gt;0),SUM(I$6:I$7) - SUM(I$10:I$11),0)</f>
        <v>44354746.922499999</v>
      </c>
      <c r="E12" s="400">
        <f>SUM(E$6:E$7)-SUM(E$8:E$11)+IF(AND(OR('Company Information'!$C$12="District of Columbia",'Company Information'!$C$12="Massachusetts",'Company Information'!$C$12="Vermont"),SUM($C$6:$F$11,$C$15:$F$16,$C$38:$D$38)&lt;&gt;0),SUM(J$6:J$7)-SUM(J$10:J$11),0)</f>
        <v>-10705402.415399998</v>
      </c>
      <c r="F12" s="400">
        <f>IFERROR(SUM(C$12:E$12)+C$17*MAX(0,E$50-C$50)+D$17*MAX(0,E$50-D$50),0)</f>
        <v>79724532.054100007</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193.27</v>
      </c>
      <c r="J12" s="400">
        <f>SUM(J$6:J$7)-SUM(J$10:J$11)+IF(AND(OR('Company Information'!$C$12="District of Columbia",'Company Information'!$C$12="Massachusetts",'Company Information'!$C$12="Vermont"),SUM($H$6:$K$11,$H$15:$K$16,$H$38:$I$38)&lt;&gt;0),SUM(E$6:E$7)-SUM(E$8:E$11),0)</f>
        <v>0</v>
      </c>
      <c r="K12" s="400">
        <f>IFERROR(SUM(H$12:J$12)+H$17*MAX(0,J$50-H$50)+I$17*MAX(0,J$50-I$50),0)</f>
        <v>193.27</v>
      </c>
      <c r="L12" s="447"/>
      <c r="M12" s="399">
        <f>SUM(M$6:M$7)</f>
        <v>0</v>
      </c>
      <c r="N12" s="400">
        <f>SUM(N$6:N$7)</f>
        <v>3776.4701121592061</v>
      </c>
      <c r="O12" s="400">
        <f>SUM(O$6:O$7)</f>
        <v>0</v>
      </c>
      <c r="P12" s="400">
        <f>SUM(M$12:O$12)+M$17*MAX(0,O$50-M$50)+N$17*MAX(0,O$50-N$50)</f>
        <v>3776.4701121592061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67554763.480000004</v>
      </c>
      <c r="D15" s="403">
        <v>62606460.829999998</v>
      </c>
      <c r="E15" s="395">
        <f>SUM('Pt 1 Summary of Data'!E$5:E$7)+SUM('Pt 1 Summary of Data'!G$5:G$7)-SUM('Pt 1 Summary of Data'!H$5:H$7)-SUM(E$9:E$11)</f>
        <v>44582.020000000004</v>
      </c>
      <c r="F15" s="395">
        <f>SUM(C15:E15)</f>
        <v>130205806.33</v>
      </c>
      <c r="G15" s="396">
        <f>SUM('Pt 1 Summary of Data'!I$5:I$7)-SUM(G$9:G$10)</f>
        <v>0</v>
      </c>
      <c r="H15" s="402"/>
      <c r="I15" s="403">
        <v>-24</v>
      </c>
      <c r="J15" s="395">
        <f>SUM('Pt 1 Summary of Data'!K$5:K$7)+SUM('Pt 1 Summary of Data'!M$5:M$7)-SUM('Pt 1 Summary of Data'!N$5:N$7)-SUM(J$10:J$11)</f>
        <v>0</v>
      </c>
      <c r="K15" s="395">
        <f>SUM(H15:J15)</f>
        <v>-24</v>
      </c>
      <c r="L15" s="396">
        <f>SUM('Pt 1 Summary of Data'!O$5:O$7)-L$10</f>
        <v>0</v>
      </c>
      <c r="M15" s="402"/>
      <c r="N15" s="403">
        <v>5078.88</v>
      </c>
      <c r="O15" s="395">
        <f>SUM('Pt 1 Summary of Data'!Q$5:Q$7)+SUM('Pt 1 Summary of Data'!S$5:S$7)-SUM('Pt 1 Summary of Data'!T$5:T$7)+N$56</f>
        <v>0</v>
      </c>
      <c r="P15" s="395">
        <f>SUM(M15:O15)</f>
        <v>5078.88</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4037656.2</v>
      </c>
      <c r="D16" s="398">
        <v>3090110.56</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1015597.5191798812</v>
      </c>
      <c r="F16" s="400">
        <f>SUM(C16:E16)</f>
        <v>8143364.2791798813</v>
      </c>
      <c r="G16" s="401">
        <f>SUM('Pt 1 Summary of Data'!I$25:I$28,'Pt 1 Summary of Data'!I$30,'Pt 1 Summary of Data'!I$34:I$35)+IF('Company Information'!$C$15="No",IF(MAX('Pt 1 Summary of Data'!I$31:I$32)=0,MIN('Pt 1 Summary of Data'!I$31:I$32),MAX('Pt 1 Summary of Data'!I$31:I$32)),SUM('Pt 1 Summary of Data'!I$31:I$32))</f>
        <v>0</v>
      </c>
      <c r="H16" s="397"/>
      <c r="I16" s="398">
        <v>-15853.33</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-15853.33</v>
      </c>
      <c r="L16" s="401">
        <f>SUM('Pt 1 Summary of Data'!O$25:O$28,'Pt 1 Summary of Data'!O$30,'Pt 1 Summary of Data'!O$34:O$35)+IF('Company Information'!$C$15="No",IF(MAX('Pt 1 Summary of Data'!O$31:O$32)=0,MIN('Pt 1 Summary of Data'!O$31:O$32),MAX('Pt 1 Summary of Data'!O$31:O$32)),SUM('Pt 1 Summary of Data'!O$31:O$32))</f>
        <v>0</v>
      </c>
      <c r="M16" s="397"/>
      <c r="N16" s="398">
        <v>3.23</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3.23</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63517107.280000001</v>
      </c>
      <c r="D17" s="400">
        <f>D$15-D$16+IF(AND(OR('Company Information'!$C$12="District of Columbia",'Company Information'!$C$12="Massachusetts",'Company Information'!$C$12="Vermont"),SUM($C$6:$F$11,$C$15:$F$16,$C$38:$D$38)&lt;&gt;0),I$15-I$16,0)</f>
        <v>59516350.269999996</v>
      </c>
      <c r="E17" s="400">
        <f>E$15-E$16+IF(AND(OR('Company Information'!$C$12="District of Columbia",'Company Information'!$C$12="Massachusetts",'Company Information'!$C$12="Vermont"),SUM($C$6:$F$11,$C$15:$F$16,$C$38:$D$38)&lt;&gt;0),J$15-J$16,0)</f>
        <v>-971015.49917988118</v>
      </c>
      <c r="F17" s="400">
        <f>F$15-F$16+IF(AND(OR('Company Information'!$C$12="District of Columbia",'Company Information'!$C$12="Massachusetts",'Company Information'!$C$12="Vermont"),SUM($C$6:$F$11,$C$15:$F$16,$C$38:$D$38)&lt;&gt;0),K$15-K$16,0)</f>
        <v>122062442.05082011</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15829.33</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15829.33</v>
      </c>
      <c r="L17" s="450"/>
      <c r="M17" s="399">
        <f>M$15-M$16</f>
        <v>0</v>
      </c>
      <c r="N17" s="400">
        <f>N$15-N$16</f>
        <v>5075.6500000000005</v>
      </c>
      <c r="O17" s="400">
        <f>O$15-O$16</f>
        <v>0</v>
      </c>
      <c r="P17" s="400">
        <f>P$15-P$16</f>
        <v>5075.6500000000005</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31650</v>
      </c>
      <c r="D38" s="405">
        <v>28344.75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3.0833333333333335</v>
      </c>
      <c r="F38" s="432">
        <f>SUM(C$38:E$38)+IF(AND(OR('Company Information'!$C$12="District of Columbia",'Company Information'!$C$12="Massachusetts",'Company Information'!$C$12="Vermont"),SUM($C$6:$F$11,$C$15:$F$16,$C$38:$D$38)&lt;&gt;0,SUM(C$38:D$38)&lt;&gt;SUM(H$38:I$38)),SUM(H$38:I$38),0)</f>
        <v>59997.833333333336</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1.92</v>
      </c>
      <c r="O38" s="432">
        <f>('Pt 1 Summary of Data'!Q$59+'Pt 1 Summary of Data'!S$59-'Pt 1 Summary of Data'!T$59)/12</f>
        <v>0</v>
      </c>
      <c r="P38" s="432">
        <f>SUM(M$38:O$38)</f>
        <v>1.92</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7.2010399999999988E-3</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4515</v>
      </c>
      <c r="G40" s="447"/>
      <c r="H40" s="443"/>
      <c r="I40" s="441"/>
      <c r="J40" s="441"/>
      <c r="K40" s="398"/>
      <c r="L40" s="447"/>
      <c r="M40" s="443"/>
      <c r="N40" s="441"/>
      <c r="O40" s="441"/>
      <c r="P40" s="398">
        <v>1500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1.3558279999999998</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9.7633716611199971E-3</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0.72539807809396195</v>
      </c>
      <c r="D45" s="436">
        <f>IF(OR(D$38&lt;1000,D$17&lt;=0),"",D$12/D$17)</f>
        <v>0.74525314004104171</v>
      </c>
      <c r="E45" s="436" t="str">
        <f>IF(OR(E$38&lt;1000,E$17&lt;=0),"",E$12/E$17)</f>
        <v/>
      </c>
      <c r="F45" s="436">
        <f>IF(OR(F$38&lt;1000,F$17&lt;=0),"",F$12/F$17)</f>
        <v>0.65314547795878997</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9.7633716611199971E-3</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0.66300000000000003</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0.66300000000000003</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0</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776500.37760000001</v>
      </c>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46386.80457</v>
      </c>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2</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5296955.17</v>
      </c>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496118.41</v>
      </c>
      <c r="D22" s="127"/>
      <c r="E22" s="127"/>
      <c r="F22" s="127"/>
      <c r="G22" s="127"/>
      <c r="H22" s="127"/>
      <c r="I22" s="181"/>
      <c r="J22" s="181"/>
      <c r="K22" s="200"/>
    </row>
    <row r="23" spans="2:12" s="5" customFormat="1" ht="100.15" customHeight="1" x14ac:dyDescent="0.2">
      <c r="B23" s="91" t="s">
        <v>212</v>
      </c>
      <c r="C23" s="483" t="s">
        <v>509</v>
      </c>
      <c r="D23" s="484"/>
      <c r="E23" s="484"/>
      <c r="F23" s="484"/>
      <c r="G23" s="484"/>
      <c r="H23" s="484"/>
      <c r="I23" s="484"/>
      <c r="J23" s="484"/>
      <c r="K23" s="485"/>
    </row>
    <row r="24" spans="2:12" s="5" customFormat="1" ht="100.15" customHeight="1" x14ac:dyDescent="0.2">
      <c r="B24" s="90" t="s">
        <v>213</v>
      </c>
      <c r="C24" s="486" t="s">
        <v>510</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