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9" i="10"/>
  <c r="T39"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P12" i="10" s="1"/>
  <c r="AB16" i="10"/>
  <c r="AA16" i="10"/>
  <c r="X16" i="10"/>
  <c r="W16" i="10"/>
  <c r="T16" i="10"/>
  <c r="S16" i="10"/>
  <c r="P16" i="10"/>
  <c r="O16" i="10"/>
  <c r="L16" i="10"/>
  <c r="K16" i="10"/>
  <c r="J16" i="10"/>
  <c r="G16" i="10"/>
  <c r="F16" i="10"/>
  <c r="E16" i="10"/>
  <c r="AB15" i="10"/>
  <c r="AA15" i="10"/>
  <c r="X15" i="10"/>
  <c r="W15" i="10"/>
  <c r="T15" i="10"/>
  <c r="S15" i="10"/>
  <c r="P15" i="10"/>
  <c r="O15" i="10"/>
  <c r="L15" i="10"/>
  <c r="AB13" i="10"/>
  <c r="AA13" i="10"/>
  <c r="Z13" i="10"/>
  <c r="Y13" i="10"/>
  <c r="W13" i="10"/>
  <c r="V13" i="10"/>
  <c r="U13" i="10"/>
  <c r="S13" i="10"/>
  <c r="R13" i="10"/>
  <c r="Q13"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D55" i="18"/>
  <c r="D22" i="4" s="1"/>
  <c r="AU54" i="18"/>
  <c r="AU12" i="4" s="1"/>
  <c r="AT54" i="18"/>
  <c r="AT12" i="4" s="1"/>
  <c r="AS54" i="18"/>
  <c r="AS12" i="4" s="1"/>
  <c r="AC54" i="18"/>
  <c r="AB54" i="18"/>
  <c r="AA54" i="18"/>
  <c r="AA12" i="4" s="1"/>
  <c r="Z54" i="18"/>
  <c r="Z12" i="4" s="1"/>
  <c r="Y54" i="18"/>
  <c r="Y12" i="4" s="1"/>
  <c r="X54" i="18"/>
  <c r="W54" i="18"/>
  <c r="W12" i="4" s="1"/>
  <c r="V54" i="18"/>
  <c r="V12" i="4" s="1"/>
  <c r="U54" i="18"/>
  <c r="U12" i="4" s="1"/>
  <c r="T54" i="18"/>
  <c r="T12" i="4" s="1"/>
  <c r="S54" i="18"/>
  <c r="S12" i="4" s="1"/>
  <c r="R54" i="18"/>
  <c r="R12" i="4" s="1"/>
  <c r="Q54" i="18"/>
  <c r="Q12" i="4" s="1"/>
  <c r="P54" i="18"/>
  <c r="P12" i="4" s="1"/>
  <c r="O54" i="18"/>
  <c r="N54" i="18"/>
  <c r="M54" i="18"/>
  <c r="M12" i="4" s="1"/>
  <c r="L54" i="18"/>
  <c r="L12" i="4" s="1"/>
  <c r="K54" i="18"/>
  <c r="K12" i="4" s="1"/>
  <c r="J54" i="18"/>
  <c r="J12" i="4" s="1"/>
  <c r="I54" i="18"/>
  <c r="I12" i="4" s="1"/>
  <c r="H54" i="18"/>
  <c r="H12" i="4" s="1"/>
  <c r="G54" i="18"/>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S22" i="4"/>
  <c r="R22" i="4"/>
  <c r="Q22" i="4"/>
  <c r="P22" i="4"/>
  <c r="O22" i="4"/>
  <c r="N22" i="4"/>
  <c r="M22" i="4"/>
  <c r="L22" i="4"/>
  <c r="K22" i="4"/>
  <c r="J22" i="4"/>
  <c r="I22" i="4"/>
  <c r="H22" i="4"/>
  <c r="G22" i="4"/>
  <c r="F22" i="4"/>
  <c r="E22" i="4"/>
  <c r="AC12" i="4"/>
  <c r="AB12" i="4"/>
  <c r="X12" i="4"/>
  <c r="O12" i="4"/>
  <c r="N12" i="4"/>
  <c r="G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J15" i="10" l="1"/>
  <c r="E7" i="10"/>
  <c r="F7" i="10" s="1"/>
  <c r="G7" i="10"/>
  <c r="G27" i="10" s="1"/>
  <c r="K15" i="10"/>
  <c r="G20" i="10"/>
  <c r="E15" i="10"/>
  <c r="J7" i="10"/>
  <c r="P47" i="10"/>
  <c r="G24" i="10"/>
  <c r="G19" i="10"/>
  <c r="X39" i="10"/>
  <c r="P39" i="10"/>
  <c r="L29" i="10"/>
  <c r="L33" i="10" s="1"/>
  <c r="L34" i="10" s="1"/>
  <c r="L21" i="10"/>
  <c r="L26" i="10" s="1"/>
  <c r="L25" i="10" s="1"/>
  <c r="L28" i="10" s="1"/>
  <c r="X13" i="10"/>
  <c r="T13" i="10"/>
  <c r="G22" i="10" l="1"/>
  <c r="G30" i="10" s="1"/>
  <c r="G31" i="10" s="1"/>
  <c r="G29" i="10" s="1"/>
  <c r="G33" i="10" s="1"/>
  <c r="G34" i="10" s="1"/>
  <c r="G23" i="10"/>
  <c r="G32" i="10"/>
  <c r="E38" i="10"/>
  <c r="E17" i="10"/>
  <c r="F15" i="10"/>
  <c r="D17" i="10"/>
  <c r="E12" i="10"/>
  <c r="K7" i="10"/>
  <c r="J17" i="10" s="1"/>
  <c r="C17" i="10"/>
  <c r="G21" i="10" l="1"/>
  <c r="G26" i="10" s="1"/>
  <c r="G25" i="10" s="1"/>
  <c r="G28" i="10" s="1"/>
  <c r="H12" i="10"/>
  <c r="J12" i="10"/>
  <c r="K17" i="10"/>
  <c r="J38" i="10"/>
  <c r="J45" i="10" s="1"/>
  <c r="I12" i="10"/>
  <c r="H17" i="10"/>
  <c r="I17" i="10"/>
  <c r="I45" i="10" s="1"/>
  <c r="F17" i="10"/>
  <c r="C12" i="10"/>
  <c r="D12" i="10"/>
  <c r="D45" i="10" s="1"/>
  <c r="F38" i="10"/>
  <c r="E45" i="10"/>
  <c r="F12" i="10" l="1"/>
  <c r="K38" i="10"/>
  <c r="K39" i="10" s="1"/>
  <c r="K42" i="10" s="1"/>
  <c r="H45" i="10"/>
  <c r="K12" i="10"/>
  <c r="F45" i="10"/>
  <c r="F52" i="10"/>
  <c r="C45" i="10"/>
  <c r="F39" i="10" s="1"/>
  <c r="F42" i="10" s="1"/>
  <c r="K52" i="10" l="1"/>
  <c r="K45" i="10"/>
  <c r="K47" i="10" s="1"/>
  <c r="K48" i="10" s="1"/>
  <c r="K51" i="10" s="1"/>
  <c r="K53" i="10" s="1"/>
  <c r="D11" i="16" s="1"/>
  <c r="F47" i="10"/>
  <c r="F48" i="10" s="1"/>
  <c r="F51" i="10" s="1"/>
  <c r="F53" i="10" s="1"/>
  <c r="C11" i="16" s="1"/>
</calcChain>
</file>

<file path=xl/sharedStrings.xml><?xml version="1.0" encoding="utf-8"?>
<sst xmlns="http://schemas.openxmlformats.org/spreadsheetml/2006/main" count="576" uniqueCount="515">
  <si>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</si>
  <si>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</si>
  <si>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</si>
  <si>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</si>
  <si>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</si>
  <si>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</si>
  <si>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</si>
  <si>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</si>
  <si>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</si>
  <si>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</si>
  <si>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</si>
  <si>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</si>
  <si>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</si>
  <si>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</si>
  <si>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</si>
  <si>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</si>
  <si>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</si>
  <si>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</si>
  <si>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</si>
  <si>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</si>
  <si>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</si>
  <si>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</si>
  <si>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</si>
  <si>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</si>
  <si>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</si>
  <si>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</si>
  <si>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</si>
  <si>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</si>
  <si>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</si>
  <si>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</si>
  <si>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</si>
  <si>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</si>
  <si>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</si>
  <si>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</si>
  <si>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</si>
  <si>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</si>
  <si>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</si>
  <si>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</si>
  <si>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</si>
  <si>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</si>
  <si>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</si>
  <si>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</si>
  <si>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</si>
  <si>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</si>
  <si>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</si>
  <si>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</si>
  <si>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</si>
  <si>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</si>
  <si>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</si>
  <si>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</si>
  <si>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</si>
  <si>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</si>
  <si>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</si>
  <si>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</si>
  <si>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</si>
  <si>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</si>
  <si>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</si>
  <si>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</si>
  <si>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</si>
  <si>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</si>
  <si>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</si>
  <si>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</si>
  <si>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</si>
  <si>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</si>
  <si>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</si>
  <si>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</si>
  <si>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</si>
  <si>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</si>
  <si>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</si>
  <si>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</si>
  <si>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</si>
  <si>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</si>
  <si>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</si>
  <si>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</si>
  <si>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</si>
  <si>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</si>
  <si>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</si>
  <si>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</si>
  <si>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</si>
  <si>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</si>
  <si>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</si>
  <si>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</si>
  <si>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</si>
  <si>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</si>
  <si>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</si>
  <si>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</si>
  <si>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</si>
  <si>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</si>
  <si>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</si>
  <si>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</si>
  <si>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</si>
  <si>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</si>
  <si>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</si>
  <si>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</si>
  <si>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</si>
  <si>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</si>
  <si>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</si>
  <si>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</si>
  <si>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</si>
  <si>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</si>
  <si>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</si>
  <si>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</si>
  <si>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</si>
  <si>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</si>
  <si>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</si>
  <si>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</si>
  <si>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</si>
  <si>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</si>
  <si>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</si>
  <si>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</si>
  <si>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</si>
  <si>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</si>
  <si>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</si>
  <si>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</si>
  <si>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</si>
  <si>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</si>
  <si>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</si>
  <si>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</si>
  <si>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</si>
  <si>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</si>
  <si>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</si>
  <si>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</si>
  <si>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</si>
  <si>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</si>
  <si>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</si>
  <si>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</si>
  <si>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</si>
  <si>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</si>
  <si>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</si>
  <si>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</si>
  <si>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</si>
  <si>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</si>
  <si>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</si>
  <si>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</si>
  <si>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</si>
  <si>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</si>
  <si>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</si>
  <si>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</si>
  <si>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</si>
  <si>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</si>
  <si>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</si>
  <si>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</si>
  <si>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</si>
  <si>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</si>
  <si>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</si>
  <si>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</si>
  <si>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</si>
  <si>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</si>
  <si>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</si>
  <si>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</si>
  <si>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</si>
  <si>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</si>
  <si>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</si>
  <si>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</si>
  <si>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</si>
  <si>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</si>
  <si>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</si>
  <si>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</si>
  <si>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</si>
  <si>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</si>
  <si>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</si>
  <si>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</si>
  <si>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</si>
  <si>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</si>
  <si>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</si>
  <si>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</si>
  <si>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</si>
  <si>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</si>
  <si>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</si>
  <si>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</si>
  <si>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</si>
  <si>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</si>
  <si>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</si>
  <si>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</si>
  <si>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</si>
  <si>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</si>
  <si>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</si>
  <si>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</si>
  <si>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</si>
  <si>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</si>
  <si>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</si>
  <si>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</si>
  <si>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</si>
  <si>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</si>
  <si>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</si>
  <si>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</si>
  <si>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</si>
  <si>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</si>
  <si>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</si>
  <si>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</si>
  <si>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</si>
  <si>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</si>
  <si>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</si>
  <si>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</si>
  <si>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</si>
  <si>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</si>
  <si>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</si>
  <si>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</si>
  <si>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</si>
  <si>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</si>
  <si>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</si>
  <si>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</si>
  <si>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</si>
  <si>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</si>
  <si>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</si>
  <si>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</si>
  <si>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</si>
  <si>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</si>
  <si>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</si>
  <si>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</si>
  <si>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</si>
  <si>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</si>
  <si>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</si>
  <si>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</si>
  <si>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</si>
  <si>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</si>
  <si>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</si>
  <si>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</si>
  <si>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</si>
  <si>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</si>
  <si>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</si>
  <si>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</si>
  <si>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</si>
  <si>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</si>
  <si>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</si>
  <si>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</si>
  <si>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</si>
  <si>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</si>
  <si>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</si>
  <si>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</si>
  <si>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</si>
  <si>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</si>
  <si>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</si>
  <si>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</si>
  <si>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</si>
  <si>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</si>
  <si>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</si>
  <si>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</si>
  <si>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</si>
  <si>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</si>
  <si>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</si>
  <si>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</si>
  <si>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</si>
  <si>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</si>
  <si>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</si>
  <si>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</si>
  <si>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</si>
  <si>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</si>
  <si>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</si>
  <si>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</si>
  <si>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</si>
  <si>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</si>
  <si>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</si>
  <si>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</si>
  <si>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</si>
  <si>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</si>
  <si>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</si>
  <si>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</si>
  <si>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</si>
  <si>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</si>
  <si>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</si>
  <si>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</si>
  <si>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</si>
  <si>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</si>
  <si>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</si>
  <si>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</si>
  <si>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</si>
  <si>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</si>
  <si>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</si>
  <si>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</si>
  <si>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</si>
  <si>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</si>
  <si>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</si>
  <si>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</si>
  <si>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</si>
  <si>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</si>
  <si>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</si>
  <si>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</si>
  <si>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</si>
  <si>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</si>
  <si>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</si>
  <si>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</si>
  <si>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</si>
  <si>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</si>
  <si>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</si>
  <si>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</si>
  <si>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</si>
  <si>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</si>
  <si>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</si>
  <si>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</si>
  <si>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</si>
  <si>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</si>
  <si>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</si>
  <si>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</si>
  <si>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</si>
  <si>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</si>
  <si>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</si>
  <si>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</si>
  <si>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</si>
  <si>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</si>
  <si>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</si>
  <si>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</si>
  <si>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</si>
  <si>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</si>
  <si>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</si>
  <si>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</si>
  <si>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</si>
  <si>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</si>
  <si>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</si>
  <si>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</si>
  <si>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</si>
  <si>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</si>
  <si>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</si>
  <si>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</si>
  <si>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</si>
  <si>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</si>
  <si>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</si>
  <si>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</si>
  <si>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</si>
  <si>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</si>
  <si>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</si>
  <si>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</si>
  <si>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</si>
  <si>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</si>
  <si>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</si>
  <si>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</si>
  <si>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</si>
  <si>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</si>
  <si>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</si>
  <si>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</si>
  <si>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</si>
  <si>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</si>
  <si>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</si>
  <si>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</si>
  <si>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</si>
  <si>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</si>
  <si>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</si>
  <si>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</si>
  <si>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</si>
  <si>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</si>
  <si>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</si>
  <si>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</si>
  <si>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</si>
  <si>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</si>
  <si>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</si>
  <si>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</si>
  <si>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</si>
  <si>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</si>
  <si>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</si>
  <si>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</si>
  <si>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</si>
  <si>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</si>
  <si>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</si>
  <si>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</si>
  <si>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</si>
  <si>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</si>
  <si>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</si>
  <si>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</si>
  <si>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</si>
  <si>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</si>
  <si>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</si>
  <si>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</si>
  <si>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</si>
  <si>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</si>
  <si>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</si>
  <si>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</si>
  <si>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</si>
  <si>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</si>
  <si>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</si>
  <si>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</si>
  <si>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</si>
  <si>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</si>
  <si>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</si>
  <si>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</si>
  <si>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</si>
  <si>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</si>
  <si>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</si>
  <si>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</si>
  <si>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</si>
  <si>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</si>
  <si>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</si>
  <si>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</si>
  <si>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</si>
  <si>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</si>
  <si>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</si>
  <si>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</si>
  <si>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</si>
  <si>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</si>
  <si>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</si>
  <si>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</si>
  <si>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</si>
  <si>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</si>
  <si>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</si>
  <si>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</si>
  <si>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</si>
  <si>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</si>
  <si>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</si>
  <si>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</si>
  <si>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</si>
  <si>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</si>
  <si>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</si>
  <si>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</si>
  <si>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</si>
  <si>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</si>
  <si>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</si>
  <si>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</si>
  <si>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</si>
  <si>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</si>
  <si>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</si>
  <si>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</si>
  <si>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</si>
  <si>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</si>
  <si>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</si>
  <si>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</si>
  <si>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</si>
  <si>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</si>
  <si>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</si>
  <si>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</si>
  <si>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</si>
  <si>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</si>
  <si>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</si>
  <si>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</si>
  <si>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</si>
  <si>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</si>
  <si>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</si>
  <si>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</si>
  <si>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</si>
  <si>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</si>
  <si>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</si>
  <si>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</si>
  <si>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</si>
  <si>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</si>
  <si>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</si>
  <si>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</si>
  <si>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</si>
  <si>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</si>
  <si>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</si>
  <si>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</si>
  <si>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</si>
  <si>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</si>
  <si>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</si>
  <si>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</si>
  <si>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</si>
  <si>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</si>
  <si>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</si>
  <si>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</si>
  <si>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</si>
  <si>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</si>
  <si>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</si>
  <si>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</si>
  <si>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</si>
  <si>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</si>
  <si>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</si>
  <si>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</si>
  <si>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</si>
  <si>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</si>
  <si>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</si>
  <si>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</si>
  <si>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</si>
  <si>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</si>
  <si>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</si>
  <si>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</si>
  <si>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</si>
  <si>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</si>
  <si>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</si>
  <si>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</si>
  <si>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</si>
  <si>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</si>
  <si>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</si>
  <si>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</si>
  <si>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</si>
  <si>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</si>
  <si>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</si>
  <si>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</si>
  <si>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</si>
  <si>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</si>
  <si>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</si>
  <si>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</si>
  <si>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</si>
  <si>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</si>
  <si>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</si>
  <si>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</si>
  <si>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</si>
  <si>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</si>
  <si>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</si>
  <si>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</si>
  <si>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</si>
  <si>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</si>
  <si>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</si>
  <si>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</si>
  <si>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</si>
  <si>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</si>
  <si>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</si>
  <si>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</si>
  <si>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</si>
  <si>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</si>
  <si>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</si>
  <si>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</si>
  <si>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</si>
  <si>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</si>
  <si>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</si>
  <si>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</si>
  <si>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</si>
  <si>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</si>
  <si>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</si>
  <si>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37001</t>
  </si>
  <si>
    <t>219</t>
  </si>
  <si>
    <t>Humana Health Plan of Ohio, Inc.</t>
  </si>
  <si>
    <t>Humana Wisconsin Health Organization Insurance Corporation</t>
  </si>
  <si>
    <t>Humana Employers Health Plan of Georgia, Inc.</t>
  </si>
  <si>
    <t>Humana Medical Plan, Inc.</t>
  </si>
  <si>
    <t>Humana Health Insurance Company of Florida, Inc.</t>
  </si>
  <si>
    <t>Humana Health Plan,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</si>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</sst>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146</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56684158</v>
      </c>
      <c r="E5" s="213">
        <f>SUM('Pt 2 Premium and Claims'!E$5,'Pt 2 Premium and Claims'!E$6,-'Pt 2 Premium and Claims'!E$7,-'Pt 2 Premium and Claims'!E$13,'Pt 2 Premium and Claims'!E$14:'Pt 2 Premium and Claims'!E$17)</f>
        <v>9062062</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92212759</v>
      </c>
      <c r="K5" s="213">
        <f>SUM('Pt 2 Premium and Claims'!K$5,'Pt 2 Premium and Claims'!K$6,-'Pt 2 Premium and Claims'!K$7,-'Pt 2 Premium and Claims'!K$13,'Pt 2 Premium and Claims'!K$14,'Pt 2 Premium and Claims'!K$16:'Pt 2 Premium and Claims'!K$17)</f>
        <v>5945402.1399999997</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16192256</v>
      </c>
      <c r="Q5" s="213">
        <f>SUM('Pt 2 Premium and Claims'!Q$5,'Pt 2 Premium and Claims'!Q$6,-'Pt 2 Premium and Claims'!Q$7,-'Pt 2 Premium and Claims'!Q$13,'Pt 2 Premium and Claims'!Q$14)</f>
        <v>1315291.6499999999</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36365676</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-151</v>
      </c>
      <c r="E7" s="217">
        <v>-46.74</v>
      </c>
      <c r="F7" s="217"/>
      <c r="G7" s="217"/>
      <c r="H7" s="217"/>
      <c r="I7" s="216"/>
      <c r="J7" s="216">
        <v>-2026</v>
      </c>
      <c r="K7" s="217">
        <v>-72.45</v>
      </c>
      <c r="L7" s="217"/>
      <c r="M7" s="217"/>
      <c r="N7" s="217"/>
      <c r="O7" s="216"/>
      <c r="P7" s="216">
        <v>-653</v>
      </c>
      <c r="Q7" s="217">
        <v>-69.89</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-106</v>
      </c>
      <c r="AU7" s="220">
        <v>0</v>
      </c>
      <c r="AV7" s="290"/>
      <c r="AW7" s="297"/>
    </row>
    <row r="8" spans="1:49" ht="25.5" x14ac:dyDescent="0.2">
      <c r="B8" s="239" t="s">
        <v>225</v>
      </c>
      <c r="C8" s="203" t="s">
        <v>59</v>
      </c>
      <c r="D8" s="216">
        <v>-142924</v>
      </c>
      <c r="E8" s="268"/>
      <c r="F8" s="269"/>
      <c r="G8" s="269"/>
      <c r="H8" s="269"/>
      <c r="I8" s="272"/>
      <c r="J8" s="216">
        <v>-141761</v>
      </c>
      <c r="K8" s="268"/>
      <c r="L8" s="269"/>
      <c r="M8" s="269"/>
      <c r="N8" s="269"/>
      <c r="O8" s="272"/>
      <c r="P8" s="216">
        <v>-17009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-1228238</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62983700</v>
      </c>
      <c r="E12" s="213">
        <f>'Pt 2 Premium and Claims'!E$54</f>
        <v>8094148.9123999998</v>
      </c>
      <c r="F12" s="213">
        <f>'Pt 2 Premium and Claims'!F$54</f>
        <v>0</v>
      </c>
      <c r="G12" s="213">
        <f>'Pt 2 Premium and Claims'!G$54</f>
        <v>0</v>
      </c>
      <c r="H12" s="213">
        <f>'Pt 2 Premium and Claims'!H$54</f>
        <v>0</v>
      </c>
      <c r="I12" s="212">
        <f>'Pt 2 Premium and Claims'!I$54</f>
        <v>0</v>
      </c>
      <c r="J12" s="212">
        <f>'Pt 2 Premium and Claims'!J$54</f>
        <v>71911588</v>
      </c>
      <c r="K12" s="213">
        <f>'Pt 2 Premium and Claims'!K$54</f>
        <v>4207973.416748872</v>
      </c>
      <c r="L12" s="213">
        <f>'Pt 2 Premium and Claims'!L$54</f>
        <v>0</v>
      </c>
      <c r="M12" s="213">
        <f>'Pt 2 Premium and Claims'!M$54</f>
        <v>0</v>
      </c>
      <c r="N12" s="213">
        <f>'Pt 2 Premium and Claims'!N$54</f>
        <v>0</v>
      </c>
      <c r="O12" s="212">
        <f>'Pt 2 Premium and Claims'!O$54</f>
        <v>0</v>
      </c>
      <c r="P12" s="212">
        <f>'Pt 2 Premium and Claims'!P$54</f>
        <v>15455683</v>
      </c>
      <c r="Q12" s="213">
        <f>'Pt 2 Premium and Claims'!Q$54</f>
        <v>1212531.3783505361</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24131737</v>
      </c>
      <c r="AU12" s="214">
        <f>'Pt 2 Premium and Claims'!AU$54</f>
        <v>0</v>
      </c>
      <c r="AV12" s="291"/>
      <c r="AW12" s="296"/>
    </row>
    <row r="13" spans="1:49" ht="25.5" x14ac:dyDescent="0.2">
      <c r="B13" s="239" t="s">
        <v>230</v>
      </c>
      <c r="C13" s="203" t="s">
        <v>37</v>
      </c>
      <c r="D13" s="216">
        <v>1803179</v>
      </c>
      <c r="E13" s="217">
        <v>1793970.6700000002</v>
      </c>
      <c r="F13" s="217"/>
      <c r="G13" s="268"/>
      <c r="H13" s="269"/>
      <c r="I13" s="216"/>
      <c r="J13" s="216">
        <v>670785</v>
      </c>
      <c r="K13" s="217">
        <v>663812.18374353764</v>
      </c>
      <c r="L13" s="217"/>
      <c r="M13" s="268"/>
      <c r="N13" s="269"/>
      <c r="O13" s="216"/>
      <c r="P13" s="216">
        <v>105564</v>
      </c>
      <c r="Q13" s="217">
        <v>110266.64625646235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178987</v>
      </c>
      <c r="AU13" s="220">
        <v>0</v>
      </c>
      <c r="AV13" s="290"/>
      <c r="AW13" s="297"/>
    </row>
    <row r="14" spans="1:49" ht="25.5" x14ac:dyDescent="0.2">
      <c r="B14" s="239" t="s">
        <v>231</v>
      </c>
      <c r="C14" s="203" t="s">
        <v>6</v>
      </c>
      <c r="D14" s="216">
        <v>95117</v>
      </c>
      <c r="E14" s="217">
        <v>94084.45</v>
      </c>
      <c r="F14" s="217"/>
      <c r="G14" s="267"/>
      <c r="H14" s="270"/>
      <c r="I14" s="216"/>
      <c r="J14" s="216">
        <v>114262</v>
      </c>
      <c r="K14" s="217">
        <v>110653.01850802958</v>
      </c>
      <c r="L14" s="217"/>
      <c r="M14" s="267"/>
      <c r="N14" s="270"/>
      <c r="O14" s="216"/>
      <c r="P14" s="216">
        <v>16566</v>
      </c>
      <c r="Q14" s="217">
        <v>16813.82149197043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254</v>
      </c>
      <c r="AU14" s="220">
        <v>0</v>
      </c>
      <c r="AV14" s="290"/>
      <c r="AW14" s="297"/>
    </row>
    <row r="15" spans="1:49" ht="38.25" x14ac:dyDescent="0.2">
      <c r="B15" s="239" t="s">
        <v>232</v>
      </c>
      <c r="C15" s="203" t="s">
        <v>7</v>
      </c>
      <c r="D15" s="216">
        <v>1707</v>
      </c>
      <c r="E15" s="217">
        <v>237.61</v>
      </c>
      <c r="F15" s="217"/>
      <c r="G15" s="267"/>
      <c r="H15" s="273"/>
      <c r="I15" s="216"/>
      <c r="J15" s="216">
        <v>2828</v>
      </c>
      <c r="K15" s="217">
        <v>162.33977608956417</v>
      </c>
      <c r="L15" s="217"/>
      <c r="M15" s="267"/>
      <c r="N15" s="273"/>
      <c r="O15" s="216"/>
      <c r="P15" s="216">
        <v>522</v>
      </c>
      <c r="Q15" s="217">
        <v>74.560223910435823</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1125</v>
      </c>
      <c r="AU15" s="220">
        <v>0</v>
      </c>
      <c r="AV15" s="290"/>
      <c r="AW15" s="297"/>
    </row>
    <row r="16" spans="1:49" ht="25.5" x14ac:dyDescent="0.2">
      <c r="B16" s="239" t="s">
        <v>233</v>
      </c>
      <c r="C16" s="203" t="s">
        <v>61</v>
      </c>
      <c r="D16" s="216">
        <v>-1460680</v>
      </c>
      <c r="E16" s="268"/>
      <c r="F16" s="269"/>
      <c r="G16" s="270"/>
      <c r="H16" s="270"/>
      <c r="I16" s="272"/>
      <c r="J16" s="216">
        <v>-212077</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-1408067</v>
      </c>
      <c r="AU16" s="220">
        <v>0</v>
      </c>
      <c r="AV16" s="290"/>
      <c r="AW16" s="297"/>
    </row>
    <row r="17" spans="1:49" x14ac:dyDescent="0.2">
      <c r="B17" s="239" t="s">
        <v>234</v>
      </c>
      <c r="C17" s="203" t="s">
        <v>62</v>
      </c>
      <c r="D17" s="216">
        <v>0</v>
      </c>
      <c r="E17" s="267"/>
      <c r="F17" s="270"/>
      <c r="G17" s="270"/>
      <c r="H17" s="270"/>
      <c r="I17" s="271"/>
      <c r="J17" s="216">
        <v>-854806</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857621</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2816</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43825</v>
      </c>
      <c r="E22" s="222">
        <f>'Pt 2 Premium and Claims'!E$55</f>
        <v>7660.84</v>
      </c>
      <c r="F22" s="222">
        <f>'Pt 2 Premium and Claims'!F$55</f>
        <v>0</v>
      </c>
      <c r="G22" s="222">
        <f>'Pt 2 Premium and Claims'!G$55</f>
        <v>0</v>
      </c>
      <c r="H22" s="222">
        <f>'Pt 2 Premium and Claims'!H$55</f>
        <v>0</v>
      </c>
      <c r="I22" s="221">
        <f>'Pt 2 Premium and Claims'!I$55</f>
        <v>0</v>
      </c>
      <c r="J22" s="221">
        <f>'Pt 2 Premium and Claims'!J$55</f>
        <v>123095.5</v>
      </c>
      <c r="K22" s="222">
        <f>'Pt 2 Premium and Claims'!K$55</f>
        <v>5359.8804758096758</v>
      </c>
      <c r="L22" s="222">
        <f>'Pt 2 Premium and Claims'!L$55</f>
        <v>0</v>
      </c>
      <c r="M22" s="222">
        <f>'Pt 2 Premium and Claims'!M$55</f>
        <v>0</v>
      </c>
      <c r="N22" s="222">
        <f>'Pt 2 Premium and Claims'!N$55</f>
        <v>0</v>
      </c>
      <c r="O22" s="221">
        <f>'Pt 2 Premium and Claims'!O$55</f>
        <v>0</v>
      </c>
      <c r="P22" s="221">
        <f>'Pt 2 Premium and Claims'!P$55</f>
        <v>22215.88</v>
      </c>
      <c r="Q22" s="222">
        <f>'Pt 2 Premium and Claims'!Q$55</f>
        <v>1593.1195241903238</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-4159372.89</v>
      </c>
      <c r="E25" s="217">
        <v>-33322.070885546906</v>
      </c>
      <c r="F25" s="217"/>
      <c r="G25" s="217"/>
      <c r="H25" s="217"/>
      <c r="I25" s="216"/>
      <c r="J25" s="216">
        <v>5440463.5499999998</v>
      </c>
      <c r="K25" s="217">
        <v>364799.16304174368</v>
      </c>
      <c r="L25" s="217"/>
      <c r="M25" s="217"/>
      <c r="N25" s="217"/>
      <c r="O25" s="216"/>
      <c r="P25" s="216">
        <v>-2156270.1800000002</v>
      </c>
      <c r="Q25" s="217">
        <v>-133861.4434851628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1071703.97</v>
      </c>
      <c r="AU25" s="220"/>
      <c r="AV25" s="220"/>
      <c r="AW25" s="297"/>
    </row>
    <row r="26" spans="1:49" s="5" customFormat="1" x14ac:dyDescent="0.2">
      <c r="A26" s="35"/>
      <c r="B26" s="242" t="s">
        <v>242</v>
      </c>
      <c r="C26" s="203"/>
      <c r="D26" s="216">
        <v>12813.89</v>
      </c>
      <c r="E26" s="217">
        <v>3810.89</v>
      </c>
      <c r="F26" s="217"/>
      <c r="G26" s="217"/>
      <c r="H26" s="217"/>
      <c r="I26" s="216"/>
      <c r="J26" s="216">
        <v>42262.81</v>
      </c>
      <c r="K26" s="217">
        <v>1695.3697481007598</v>
      </c>
      <c r="L26" s="217"/>
      <c r="M26" s="217"/>
      <c r="N26" s="217"/>
      <c r="O26" s="216"/>
      <c r="P26" s="216">
        <v>8875.9699999999993</v>
      </c>
      <c r="Q26" s="217">
        <v>918.92025189924027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957.53</v>
      </c>
      <c r="AU26" s="220"/>
      <c r="AV26" s="220"/>
      <c r="AW26" s="297"/>
    </row>
    <row r="27" spans="1:49" s="5" customFormat="1" x14ac:dyDescent="0.2">
      <c r="B27" s="242" t="s">
        <v>243</v>
      </c>
      <c r="C27" s="203"/>
      <c r="D27" s="216">
        <v>921911.13</v>
      </c>
      <c r="E27" s="217">
        <v>128326.78</v>
      </c>
      <c r="F27" s="217"/>
      <c r="G27" s="217"/>
      <c r="H27" s="217"/>
      <c r="I27" s="216"/>
      <c r="J27" s="216">
        <v>1527492.84</v>
      </c>
      <c r="K27" s="217">
        <v>87668.613738504602</v>
      </c>
      <c r="L27" s="217"/>
      <c r="M27" s="217"/>
      <c r="N27" s="217"/>
      <c r="O27" s="216"/>
      <c r="P27" s="216">
        <v>257691.66</v>
      </c>
      <c r="Q27" s="217">
        <v>26719.126261495403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271027.53000000003</v>
      </c>
      <c r="AU27" s="220"/>
      <c r="AV27" s="293"/>
      <c r="AW27" s="297"/>
    </row>
    <row r="28" spans="1:49" s="5" customFormat="1" x14ac:dyDescent="0.2">
      <c r="A28" s="35"/>
      <c r="B28" s="242" t="s">
        <v>244</v>
      </c>
      <c r="C28" s="203"/>
      <c r="D28" s="216">
        <v>136961.85999999999</v>
      </c>
      <c r="E28" s="217">
        <v>13908.84</v>
      </c>
      <c r="F28" s="217"/>
      <c r="G28" s="217"/>
      <c r="H28" s="217"/>
      <c r="I28" s="216"/>
      <c r="J28" s="216">
        <v>138476.68</v>
      </c>
      <c r="K28" s="217">
        <v>6390.5032227109159</v>
      </c>
      <c r="L28" s="217"/>
      <c r="M28" s="217"/>
      <c r="N28" s="217"/>
      <c r="O28" s="216"/>
      <c r="P28" s="216">
        <v>27632.39</v>
      </c>
      <c r="Q28" s="217">
        <v>3882.0167772890845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135472.31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-309402.3</v>
      </c>
      <c r="E30" s="217">
        <v>-843.30945957763106</v>
      </c>
      <c r="F30" s="217"/>
      <c r="G30" s="217"/>
      <c r="H30" s="217"/>
      <c r="I30" s="216"/>
      <c r="J30" s="216">
        <v>441238.15</v>
      </c>
      <c r="K30" s="217">
        <v>28652.938492924153</v>
      </c>
      <c r="L30" s="217"/>
      <c r="M30" s="217"/>
      <c r="N30" s="217"/>
      <c r="O30" s="216"/>
      <c r="P30" s="216">
        <v>-166574.71</v>
      </c>
      <c r="Q30" s="217">
        <v>-11084.654624807661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100478.36</v>
      </c>
      <c r="AU30" s="220"/>
      <c r="AV30" s="220"/>
      <c r="AW30" s="297"/>
    </row>
    <row r="31" spans="1:49" x14ac:dyDescent="0.2">
      <c r="B31" s="242" t="s">
        <v>247</v>
      </c>
      <c r="C31" s="203"/>
      <c r="D31" s="216">
        <v>1038436.9</v>
      </c>
      <c r="E31" s="217">
        <v>115731.85</v>
      </c>
      <c r="F31" s="217"/>
      <c r="G31" s="217"/>
      <c r="H31" s="217"/>
      <c r="I31" s="216"/>
      <c r="J31" s="216">
        <v>1729049.05</v>
      </c>
      <c r="K31" s="217">
        <v>98807.066561375454</v>
      </c>
      <c r="L31" s="217"/>
      <c r="M31" s="217"/>
      <c r="N31" s="217"/>
      <c r="O31" s="216"/>
      <c r="P31" s="216">
        <v>318797.23</v>
      </c>
      <c r="Q31" s="217">
        <v>45794.303438624549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677335.21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25554.880000000001</v>
      </c>
      <c r="E34" s="217">
        <v>59355.95</v>
      </c>
      <c r="F34" s="217"/>
      <c r="G34" s="217"/>
      <c r="H34" s="217"/>
      <c r="I34" s="216"/>
      <c r="J34" s="216">
        <v>36869.629999999997</v>
      </c>
      <c r="K34" s="217">
        <v>36724.56529388245</v>
      </c>
      <c r="L34" s="217"/>
      <c r="M34" s="217"/>
      <c r="N34" s="217"/>
      <c r="O34" s="216"/>
      <c r="P34" s="216">
        <v>9569.2800000000007</v>
      </c>
      <c r="Q34" s="217">
        <v>9714.3447061175539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57848.97</v>
      </c>
      <c r="E35" s="217">
        <v>5428.2</v>
      </c>
      <c r="F35" s="217"/>
      <c r="G35" s="217"/>
      <c r="H35" s="217"/>
      <c r="I35" s="216"/>
      <c r="J35" s="216">
        <v>53380.9</v>
      </c>
      <c r="K35" s="217">
        <v>2715.7726309476211</v>
      </c>
      <c r="L35" s="217"/>
      <c r="M35" s="217"/>
      <c r="N35" s="217"/>
      <c r="O35" s="216"/>
      <c r="P35" s="216">
        <v>8956.0400000000009</v>
      </c>
      <c r="Q35" s="217">
        <v>1248.637369052379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192723.03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120731</v>
      </c>
      <c r="E37" s="225">
        <v>72429.399999999994</v>
      </c>
      <c r="F37" s="225"/>
      <c r="G37" s="225"/>
      <c r="H37" s="225"/>
      <c r="I37" s="224"/>
      <c r="J37" s="224">
        <v>96885</v>
      </c>
      <c r="K37" s="225">
        <v>9449.4033786485397</v>
      </c>
      <c r="L37" s="225"/>
      <c r="M37" s="225"/>
      <c r="N37" s="225"/>
      <c r="O37" s="224"/>
      <c r="P37" s="224">
        <v>131642</v>
      </c>
      <c r="Q37" s="225">
        <v>91049.956621351463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1247</v>
      </c>
      <c r="AU37" s="226">
        <v>0</v>
      </c>
      <c r="AV37" s="226">
        <v>138692</v>
      </c>
      <c r="AW37" s="296"/>
    </row>
    <row r="38" spans="1:49" x14ac:dyDescent="0.2">
      <c r="B38" s="239" t="s">
        <v>254</v>
      </c>
      <c r="C38" s="203" t="s">
        <v>16</v>
      </c>
      <c r="D38" s="216">
        <v>78556</v>
      </c>
      <c r="E38" s="217">
        <v>70566.080000000002</v>
      </c>
      <c r="F38" s="217"/>
      <c r="G38" s="217"/>
      <c r="H38" s="217"/>
      <c r="I38" s="216"/>
      <c r="J38" s="216">
        <v>15600</v>
      </c>
      <c r="K38" s="217">
        <v>2254.9240943622549</v>
      </c>
      <c r="L38" s="217"/>
      <c r="M38" s="217"/>
      <c r="N38" s="217"/>
      <c r="O38" s="216"/>
      <c r="P38" s="216">
        <v>135646</v>
      </c>
      <c r="Q38" s="217">
        <v>104316.52590563774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6</v>
      </c>
      <c r="AU38" s="220">
        <v>0</v>
      </c>
      <c r="AV38" s="220">
        <v>164236</v>
      </c>
      <c r="AW38" s="297"/>
    </row>
    <row r="39" spans="1:49" x14ac:dyDescent="0.2">
      <c r="B39" s="242" t="s">
        <v>255</v>
      </c>
      <c r="C39" s="203" t="s">
        <v>17</v>
      </c>
      <c r="D39" s="216">
        <v>28097</v>
      </c>
      <c r="E39" s="217">
        <v>16430.16</v>
      </c>
      <c r="F39" s="217"/>
      <c r="G39" s="217"/>
      <c r="H39" s="217"/>
      <c r="I39" s="216"/>
      <c r="J39" s="216">
        <v>23458</v>
      </c>
      <c r="K39" s="217">
        <v>4602.0597121151541</v>
      </c>
      <c r="L39" s="217"/>
      <c r="M39" s="217"/>
      <c r="N39" s="217"/>
      <c r="O39" s="216"/>
      <c r="P39" s="216">
        <v>25136</v>
      </c>
      <c r="Q39" s="217">
        <v>17262.940287884845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5176</v>
      </c>
      <c r="AU39" s="220">
        <v>0</v>
      </c>
      <c r="AV39" s="220">
        <v>25353</v>
      </c>
      <c r="AW39" s="297"/>
    </row>
    <row r="40" spans="1:49" x14ac:dyDescent="0.2">
      <c r="B40" s="242" t="s">
        <v>256</v>
      </c>
      <c r="C40" s="203" t="s">
        <v>38</v>
      </c>
      <c r="D40" s="216">
        <v>68707</v>
      </c>
      <c r="E40" s="217">
        <v>62557.09</v>
      </c>
      <c r="F40" s="217"/>
      <c r="G40" s="217"/>
      <c r="H40" s="217"/>
      <c r="I40" s="216"/>
      <c r="J40" s="216">
        <v>123749</v>
      </c>
      <c r="K40" s="217">
        <v>41807.850459816073</v>
      </c>
      <c r="L40" s="217"/>
      <c r="M40" s="217"/>
      <c r="N40" s="217"/>
      <c r="O40" s="216"/>
      <c r="P40" s="216">
        <v>107077</v>
      </c>
      <c r="Q40" s="217">
        <v>73797.009540183921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30405</v>
      </c>
      <c r="AU40" s="220">
        <v>0</v>
      </c>
      <c r="AV40" s="220">
        <v>91308</v>
      </c>
      <c r="AW40" s="297"/>
    </row>
    <row r="41" spans="1:49" s="5" customFormat="1" ht="25.5" x14ac:dyDescent="0.2">
      <c r="A41" s="35"/>
      <c r="B41" s="242" t="s">
        <v>257</v>
      </c>
      <c r="C41" s="203" t="s">
        <v>129</v>
      </c>
      <c r="D41" s="216">
        <v>75595</v>
      </c>
      <c r="E41" s="217">
        <v>7080.78</v>
      </c>
      <c r="F41" s="217"/>
      <c r="G41" s="217"/>
      <c r="H41" s="217"/>
      <c r="I41" s="216"/>
      <c r="J41" s="216">
        <v>124485</v>
      </c>
      <c r="K41" s="217">
        <v>5387.5102359056382</v>
      </c>
      <c r="L41" s="217"/>
      <c r="M41" s="217"/>
      <c r="N41" s="217"/>
      <c r="O41" s="216"/>
      <c r="P41" s="216">
        <v>22028</v>
      </c>
      <c r="Q41" s="217">
        <v>1547.5497640943622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71568</v>
      </c>
      <c r="AU41" s="220">
        <v>0</v>
      </c>
      <c r="AV41" s="220">
        <v>135</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460531</v>
      </c>
      <c r="E44" s="225">
        <v>64942.21</v>
      </c>
      <c r="F44" s="225"/>
      <c r="G44" s="225"/>
      <c r="H44" s="225"/>
      <c r="I44" s="224"/>
      <c r="J44" s="224">
        <v>544497</v>
      </c>
      <c r="K44" s="225">
        <v>44793.679704118353</v>
      </c>
      <c r="L44" s="225"/>
      <c r="M44" s="225"/>
      <c r="N44" s="225"/>
      <c r="O44" s="224"/>
      <c r="P44" s="224">
        <v>126069</v>
      </c>
      <c r="Q44" s="225">
        <v>32261.280295881646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149759</v>
      </c>
      <c r="AU44" s="226">
        <v>0</v>
      </c>
      <c r="AV44" s="226">
        <v>27028</v>
      </c>
      <c r="AW44" s="296"/>
    </row>
    <row r="45" spans="1:49" x14ac:dyDescent="0.2">
      <c r="B45" s="245" t="s">
        <v>261</v>
      </c>
      <c r="C45" s="203" t="s">
        <v>19</v>
      </c>
      <c r="D45" s="216">
        <v>512559</v>
      </c>
      <c r="E45" s="217">
        <v>47805.42</v>
      </c>
      <c r="F45" s="217"/>
      <c r="G45" s="217"/>
      <c r="H45" s="217"/>
      <c r="I45" s="216"/>
      <c r="J45" s="216">
        <v>366761</v>
      </c>
      <c r="K45" s="217">
        <v>25809.42825669732</v>
      </c>
      <c r="L45" s="217"/>
      <c r="M45" s="217"/>
      <c r="N45" s="217"/>
      <c r="O45" s="216"/>
      <c r="P45" s="216">
        <v>64814</v>
      </c>
      <c r="Q45" s="217">
        <v>7419.1617433026786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316583</v>
      </c>
      <c r="AU45" s="220">
        <v>0</v>
      </c>
      <c r="AV45" s="220">
        <v>2303</v>
      </c>
      <c r="AW45" s="297"/>
    </row>
    <row r="46" spans="1:49" x14ac:dyDescent="0.2">
      <c r="B46" s="245" t="s">
        <v>262</v>
      </c>
      <c r="C46" s="203" t="s">
        <v>20</v>
      </c>
      <c r="D46" s="216">
        <v>246556</v>
      </c>
      <c r="E46" s="217">
        <v>18459.78</v>
      </c>
      <c r="F46" s="217"/>
      <c r="G46" s="217"/>
      <c r="H46" s="217"/>
      <c r="I46" s="216"/>
      <c r="J46" s="216">
        <v>309921</v>
      </c>
      <c r="K46" s="217">
        <v>13648.134770091963</v>
      </c>
      <c r="L46" s="217"/>
      <c r="M46" s="217"/>
      <c r="N46" s="217"/>
      <c r="O46" s="216"/>
      <c r="P46" s="216">
        <v>55208</v>
      </c>
      <c r="Q46" s="217">
        <v>3758.2552299080367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422534</v>
      </c>
      <c r="AU46" s="220">
        <v>0</v>
      </c>
      <c r="AV46" s="220">
        <v>3</v>
      </c>
      <c r="AW46" s="297"/>
    </row>
    <row r="47" spans="1:49" x14ac:dyDescent="0.2">
      <c r="B47" s="245" t="s">
        <v>263</v>
      </c>
      <c r="C47" s="203" t="s">
        <v>21</v>
      </c>
      <c r="D47" s="216">
        <v>295392</v>
      </c>
      <c r="E47" s="217">
        <v>249609.51</v>
      </c>
      <c r="F47" s="217"/>
      <c r="G47" s="217"/>
      <c r="H47" s="217"/>
      <c r="I47" s="216"/>
      <c r="J47" s="216">
        <v>346355</v>
      </c>
      <c r="K47" s="217">
        <v>295710.285189924</v>
      </c>
      <c r="L47" s="217"/>
      <c r="M47" s="217"/>
      <c r="N47" s="217"/>
      <c r="O47" s="216"/>
      <c r="P47" s="216">
        <v>326850</v>
      </c>
      <c r="Q47" s="217">
        <v>319515.464810076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7278852</v>
      </c>
      <c r="AU47" s="220">
        <v>0</v>
      </c>
      <c r="AV47" s="220">
        <v>4261</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-118415.06</v>
      </c>
      <c r="E49" s="217">
        <v>-878.4</v>
      </c>
      <c r="F49" s="217"/>
      <c r="G49" s="217"/>
      <c r="H49" s="217"/>
      <c r="I49" s="216"/>
      <c r="J49" s="216">
        <v>147406.23000000001</v>
      </c>
      <c r="K49" s="217">
        <v>2093.0263774490204</v>
      </c>
      <c r="L49" s="217"/>
      <c r="M49" s="217"/>
      <c r="N49" s="217"/>
      <c r="O49" s="216"/>
      <c r="P49" s="216">
        <v>-63115.360000000001</v>
      </c>
      <c r="Q49" s="217">
        <v>-5666.4163774490207</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32340.35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4038272</v>
      </c>
      <c r="E51" s="217">
        <v>432834.07</v>
      </c>
      <c r="F51" s="217"/>
      <c r="G51" s="217"/>
      <c r="H51" s="217"/>
      <c r="I51" s="216"/>
      <c r="J51" s="216">
        <v>4199362</v>
      </c>
      <c r="K51" s="217">
        <v>92073.853862455013</v>
      </c>
      <c r="L51" s="217"/>
      <c r="M51" s="217"/>
      <c r="N51" s="217"/>
      <c r="O51" s="216"/>
      <c r="P51" s="216">
        <v>655893</v>
      </c>
      <c r="Q51" s="217">
        <v>-47530.393862455021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-195610</v>
      </c>
      <c r="AU51" s="220">
        <v>0</v>
      </c>
      <c r="AV51" s="220">
        <v>105761</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151180</v>
      </c>
      <c r="E56" s="229">
        <v>676</v>
      </c>
      <c r="F56" s="229"/>
      <c r="G56" s="229"/>
      <c r="H56" s="229"/>
      <c r="I56" s="228"/>
      <c r="J56" s="228">
        <v>62626</v>
      </c>
      <c r="K56" s="229">
        <v>521</v>
      </c>
      <c r="L56" s="229"/>
      <c r="M56" s="229"/>
      <c r="N56" s="229"/>
      <c r="O56" s="228"/>
      <c r="P56" s="228">
        <v>11445</v>
      </c>
      <c r="Q56" s="229">
        <v>155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75348</v>
      </c>
      <c r="AU56" s="230">
        <v>0</v>
      </c>
      <c r="AV56" s="230">
        <v>0</v>
      </c>
      <c r="AW56" s="288"/>
    </row>
    <row r="57" spans="2:49" x14ac:dyDescent="0.2">
      <c r="B57" s="245" t="s">
        <v>272</v>
      </c>
      <c r="C57" s="203" t="s">
        <v>25</v>
      </c>
      <c r="D57" s="231">
        <v>221160</v>
      </c>
      <c r="E57" s="232">
        <v>1173</v>
      </c>
      <c r="F57" s="232"/>
      <c r="G57" s="232"/>
      <c r="H57" s="232"/>
      <c r="I57" s="231"/>
      <c r="J57" s="231">
        <v>108308</v>
      </c>
      <c r="K57" s="232">
        <v>858</v>
      </c>
      <c r="L57" s="232"/>
      <c r="M57" s="232"/>
      <c r="N57" s="232"/>
      <c r="O57" s="231"/>
      <c r="P57" s="231">
        <v>19705</v>
      </c>
      <c r="Q57" s="232">
        <v>224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118089</v>
      </c>
      <c r="AU57" s="233">
        <v>0</v>
      </c>
      <c r="AV57" s="233">
        <v>0</v>
      </c>
      <c r="AW57" s="289"/>
    </row>
    <row r="58" spans="2:49" x14ac:dyDescent="0.2">
      <c r="B58" s="245" t="s">
        <v>273</v>
      </c>
      <c r="C58" s="203" t="s">
        <v>26</v>
      </c>
      <c r="D58" s="309"/>
      <c r="E58" s="310"/>
      <c r="F58" s="310"/>
      <c r="G58" s="310"/>
      <c r="H58" s="310"/>
      <c r="I58" s="309"/>
      <c r="J58" s="231">
        <v>104</v>
      </c>
      <c r="K58" s="232">
        <v>104</v>
      </c>
      <c r="L58" s="232"/>
      <c r="M58" s="232"/>
      <c r="N58" s="232"/>
      <c r="O58" s="231"/>
      <c r="P58" s="231">
        <v>15</v>
      </c>
      <c r="Q58" s="232">
        <v>15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1823</v>
      </c>
      <c r="AU58" s="233">
        <v>0</v>
      </c>
      <c r="AV58" s="233">
        <v>0</v>
      </c>
      <c r="AW58" s="289"/>
    </row>
    <row r="59" spans="2:49" x14ac:dyDescent="0.2">
      <c r="B59" s="245" t="s">
        <v>274</v>
      </c>
      <c r="C59" s="203" t="s">
        <v>27</v>
      </c>
      <c r="D59" s="231">
        <v>3097209</v>
      </c>
      <c r="E59" s="232">
        <v>15247</v>
      </c>
      <c r="F59" s="232"/>
      <c r="G59" s="232"/>
      <c r="H59" s="232"/>
      <c r="I59" s="231"/>
      <c r="J59" s="231">
        <v>1201821</v>
      </c>
      <c r="K59" s="232">
        <v>10003</v>
      </c>
      <c r="L59" s="232"/>
      <c r="M59" s="232"/>
      <c r="N59" s="232"/>
      <c r="O59" s="231"/>
      <c r="P59" s="231">
        <v>235627</v>
      </c>
      <c r="Q59" s="232">
        <v>2696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1313111</v>
      </c>
      <c r="AU59" s="233">
        <v>0</v>
      </c>
      <c r="AV59" s="233">
        <v>0</v>
      </c>
      <c r="AW59" s="289"/>
    </row>
    <row r="60" spans="2:49" x14ac:dyDescent="0.2">
      <c r="B60" s="245" t="s">
        <v>275</v>
      </c>
      <c r="C60" s="203"/>
      <c r="D60" s="234">
        <f t="shared" ref="D60:AC60" si="0">D$59/12</f>
        <v>258100.75</v>
      </c>
      <c r="E60" s="235">
        <f t="shared" si="0"/>
        <v>1270.5833333333333</v>
      </c>
      <c r="F60" s="235">
        <f t="shared" si="0"/>
        <v>0</v>
      </c>
      <c r="G60" s="235">
        <f t="shared" si="0"/>
        <v>0</v>
      </c>
      <c r="H60" s="235">
        <f t="shared" si="0"/>
        <v>0</v>
      </c>
      <c r="I60" s="234">
        <f t="shared" si="0"/>
        <v>0</v>
      </c>
      <c r="J60" s="234">
        <f t="shared" si="0"/>
        <v>100151.75</v>
      </c>
      <c r="K60" s="235">
        <f t="shared" si="0"/>
        <v>833.58333333333337</v>
      </c>
      <c r="L60" s="235">
        <f t="shared" si="0"/>
        <v>0</v>
      </c>
      <c r="M60" s="235">
        <f t="shared" si="0"/>
        <v>0</v>
      </c>
      <c r="N60" s="235">
        <f t="shared" si="0"/>
        <v>0</v>
      </c>
      <c r="O60" s="234">
        <f t="shared" si="0"/>
        <v>0</v>
      </c>
      <c r="P60" s="234">
        <f t="shared" si="0"/>
        <v>19635.583333333332</v>
      </c>
      <c r="Q60" s="235">
        <f t="shared" si="0"/>
        <v>224.66666666666666</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109425.91666666667</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56695855</v>
      </c>
      <c r="E5" s="326">
        <v>6050468.5099999998</v>
      </c>
      <c r="F5" s="326"/>
      <c r="G5" s="328"/>
      <c r="H5" s="328"/>
      <c r="I5" s="325"/>
      <c r="J5" s="325">
        <v>92212759</v>
      </c>
      <c r="K5" s="326">
        <v>5644968.9699999997</v>
      </c>
      <c r="L5" s="326"/>
      <c r="M5" s="326"/>
      <c r="N5" s="326"/>
      <c r="O5" s="325"/>
      <c r="P5" s="325">
        <v>16192256</v>
      </c>
      <c r="Q5" s="326">
        <v>1315291.6499999999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36395597</v>
      </c>
      <c r="AU5" s="327">
        <v>0</v>
      </c>
      <c r="AV5" s="369"/>
      <c r="AW5" s="373"/>
    </row>
    <row r="6" spans="2:49" x14ac:dyDescent="0.2">
      <c r="B6" s="343" t="s">
        <v>278</v>
      </c>
      <c r="C6" s="331" t="s">
        <v>8</v>
      </c>
      <c r="D6" s="318">
        <v>11126</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74983</v>
      </c>
      <c r="AU6" s="321">
        <v>0</v>
      </c>
      <c r="AV6" s="368"/>
      <c r="AW6" s="374"/>
    </row>
    <row r="7" spans="2:49" x14ac:dyDescent="0.2">
      <c r="B7" s="343" t="s">
        <v>279</v>
      </c>
      <c r="C7" s="331" t="s">
        <v>9</v>
      </c>
      <c r="D7" s="318">
        <v>22823</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104904</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857621</v>
      </c>
      <c r="K9" s="362"/>
      <c r="L9" s="362"/>
      <c r="M9" s="362"/>
      <c r="N9" s="362"/>
      <c r="O9" s="364"/>
      <c r="P9" s="318">
        <v>-106</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2816</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1389389.8</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1622203.69</v>
      </c>
      <c r="F16" s="319"/>
      <c r="G16" s="319"/>
      <c r="H16" s="319"/>
      <c r="I16" s="318"/>
      <c r="J16" s="318"/>
      <c r="K16" s="319">
        <v>300433.17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-1125900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62786959</v>
      </c>
      <c r="E23" s="362"/>
      <c r="F23" s="362"/>
      <c r="G23" s="362"/>
      <c r="H23" s="362"/>
      <c r="I23" s="364"/>
      <c r="J23" s="318">
        <v>88639764</v>
      </c>
      <c r="K23" s="362"/>
      <c r="L23" s="362"/>
      <c r="M23" s="362"/>
      <c r="N23" s="362"/>
      <c r="O23" s="364"/>
      <c r="P23" s="318">
        <v>-4700035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21992795</v>
      </c>
      <c r="AU23" s="321">
        <v>0</v>
      </c>
      <c r="AV23" s="368"/>
      <c r="AW23" s="374"/>
    </row>
    <row r="24" spans="2:49" ht="28.5" customHeight="1" x14ac:dyDescent="0.2">
      <c r="B24" s="345" t="s">
        <v>114</v>
      </c>
      <c r="C24" s="331"/>
      <c r="D24" s="365"/>
      <c r="E24" s="319">
        <v>8661603.5600000005</v>
      </c>
      <c r="F24" s="319"/>
      <c r="G24" s="319"/>
      <c r="H24" s="319"/>
      <c r="I24" s="318"/>
      <c r="J24" s="365"/>
      <c r="K24" s="319">
        <v>4517308.71</v>
      </c>
      <c r="L24" s="319"/>
      <c r="M24" s="319"/>
      <c r="N24" s="319"/>
      <c r="O24" s="318"/>
      <c r="P24" s="365"/>
      <c r="Q24" s="319">
        <v>1008356.35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5786747</v>
      </c>
      <c r="E26" s="362"/>
      <c r="F26" s="362"/>
      <c r="G26" s="362"/>
      <c r="H26" s="362"/>
      <c r="I26" s="364"/>
      <c r="J26" s="318">
        <v>-9969550</v>
      </c>
      <c r="K26" s="362"/>
      <c r="L26" s="362"/>
      <c r="M26" s="362"/>
      <c r="N26" s="362"/>
      <c r="O26" s="364"/>
      <c r="P26" s="318">
        <v>21812800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3426450</v>
      </c>
      <c r="AU26" s="321">
        <v>0</v>
      </c>
      <c r="AV26" s="368"/>
      <c r="AW26" s="374"/>
    </row>
    <row r="27" spans="2:49" s="5" customFormat="1" ht="25.5" x14ac:dyDescent="0.2">
      <c r="B27" s="345" t="s">
        <v>85</v>
      </c>
      <c r="C27" s="331"/>
      <c r="D27" s="365"/>
      <c r="E27" s="319">
        <v>304597.75240000006</v>
      </c>
      <c r="F27" s="319"/>
      <c r="G27" s="319"/>
      <c r="H27" s="319"/>
      <c r="I27" s="318"/>
      <c r="J27" s="365"/>
      <c r="K27" s="319">
        <v>83147.568855843769</v>
      </c>
      <c r="L27" s="319"/>
      <c r="M27" s="319"/>
      <c r="N27" s="319"/>
      <c r="O27" s="318"/>
      <c r="P27" s="365"/>
      <c r="Q27" s="319">
        <v>26016.931744156227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4793155</v>
      </c>
      <c r="E28" s="363"/>
      <c r="F28" s="363"/>
      <c r="G28" s="363"/>
      <c r="H28" s="363"/>
      <c r="I28" s="365"/>
      <c r="J28" s="318">
        <v>7595963</v>
      </c>
      <c r="K28" s="363"/>
      <c r="L28" s="363"/>
      <c r="M28" s="363"/>
      <c r="N28" s="363"/>
      <c r="O28" s="365"/>
      <c r="P28" s="318">
        <v>1649827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2023716</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1319</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156394</v>
      </c>
      <c r="AU30" s="321">
        <v>0</v>
      </c>
      <c r="AV30" s="368"/>
      <c r="AW30" s="374"/>
    </row>
    <row r="31" spans="2:49" s="5" customFormat="1" ht="25.5" x14ac:dyDescent="0.2">
      <c r="B31" s="345" t="s">
        <v>84</v>
      </c>
      <c r="C31" s="331"/>
      <c r="D31" s="365"/>
      <c r="E31" s="319"/>
      <c r="F31" s="319"/>
      <c r="G31" s="319"/>
      <c r="H31" s="319"/>
      <c r="I31" s="318"/>
      <c r="J31" s="365"/>
      <c r="K31" s="319">
        <v>-2318.88</v>
      </c>
      <c r="L31" s="319"/>
      <c r="M31" s="319"/>
      <c r="N31" s="319"/>
      <c r="O31" s="318"/>
      <c r="P31" s="365"/>
      <c r="Q31" s="319">
        <v>-71.760000000000005</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3638</v>
      </c>
      <c r="K32" s="363"/>
      <c r="L32" s="363"/>
      <c r="M32" s="363"/>
      <c r="N32" s="363"/>
      <c r="O32" s="365"/>
      <c r="P32" s="318">
        <v>72</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216393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131042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2180858</v>
      </c>
      <c r="AU34" s="321">
        <v>0</v>
      </c>
      <c r="AV34" s="368"/>
      <c r="AW34" s="374"/>
    </row>
    <row r="35" spans="2:49" s="5" customFormat="1" x14ac:dyDescent="0.2">
      <c r="B35" s="345" t="s">
        <v>91</v>
      </c>
      <c r="C35" s="331"/>
      <c r="D35" s="365"/>
      <c r="E35" s="319">
        <v>131042.34</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909010</v>
      </c>
      <c r="E36" s="319">
        <v>909010.29</v>
      </c>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1384842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857621</v>
      </c>
      <c r="K38" s="362"/>
      <c r="L38" s="362"/>
      <c r="M38" s="362"/>
      <c r="N38" s="362"/>
      <c r="O38" s="364"/>
      <c r="P38" s="318">
        <v>-106</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2816</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34088</v>
      </c>
      <c r="E49" s="319">
        <v>94084.45</v>
      </c>
      <c r="F49" s="319"/>
      <c r="G49" s="319"/>
      <c r="H49" s="319"/>
      <c r="I49" s="318"/>
      <c r="J49" s="318">
        <v>37390</v>
      </c>
      <c r="K49" s="319">
        <v>110653.01850802958</v>
      </c>
      <c r="L49" s="319"/>
      <c r="M49" s="319"/>
      <c r="N49" s="319"/>
      <c r="O49" s="318"/>
      <c r="P49" s="318">
        <v>11819</v>
      </c>
      <c r="Q49" s="319">
        <v>16813.82149197043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-744</v>
      </c>
      <c r="AU49" s="321">
        <v>0</v>
      </c>
      <c r="AV49" s="368"/>
      <c r="AW49" s="374"/>
    </row>
    <row r="50" spans="2:49" x14ac:dyDescent="0.2">
      <c r="B50" s="343" t="s">
        <v>119</v>
      </c>
      <c r="C50" s="331" t="s">
        <v>34</v>
      </c>
      <c r="D50" s="318">
        <v>15205</v>
      </c>
      <c r="E50" s="363"/>
      <c r="F50" s="363"/>
      <c r="G50" s="363"/>
      <c r="H50" s="363"/>
      <c r="I50" s="365"/>
      <c r="J50" s="318">
        <v>22241</v>
      </c>
      <c r="K50" s="363"/>
      <c r="L50" s="363"/>
      <c r="M50" s="363"/>
      <c r="N50" s="363"/>
      <c r="O50" s="365"/>
      <c r="P50" s="318">
        <v>4742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-553</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v>-279510.96359894273</v>
      </c>
      <c r="L53" s="319"/>
      <c r="M53" s="319"/>
      <c r="N53" s="319"/>
      <c r="O53" s="318"/>
      <c r="P53" s="318">
        <v>0</v>
      </c>
      <c r="Q53" s="319">
        <v>195043.67809835044</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62983700</v>
      </c>
      <c r="E54" s="323">
        <f>E24+E27+E31+E35-E36+E39+E42+E45+E46-E49+E51+E52+E53</f>
        <v>8094148.9123999998</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71911588</v>
      </c>
      <c r="K54" s="323">
        <f>K24+K27+K31+K35-K36+K39+K42+K45+K46-K49+K51+K52+K53</f>
        <v>4207973.416748872</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15455683</v>
      </c>
      <c r="Q54" s="323">
        <f>Q24+Q27+Q31+Q35-Q36+Q39+Q42+Q45+Q46-Q49+Q51+Q52+Q53</f>
        <v>1212531.3783505361</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24131737</v>
      </c>
      <c r="AU54" s="324">
        <f>AU23+AU26-AU28+AU30-AU32+AU34-AU36+AU38+AU41-AU43+AU45+AU46-AU47-AU49+AU50+AU51+AU52+AU53</f>
        <v>0</v>
      </c>
      <c r="AV54" s="368"/>
      <c r="AW54" s="374"/>
    </row>
    <row r="55" spans="2:49" ht="25.5" x14ac:dyDescent="0.2">
      <c r="B55" s="348" t="s">
        <v>493</v>
      </c>
      <c r="C55" s="335" t="s">
        <v>28</v>
      </c>
      <c r="D55" s="322">
        <f t="shared" ref="D55:AC55" si="0">MIN(MAX(0,D56),MAX(0,D57))</f>
        <v>43825</v>
      </c>
      <c r="E55" s="323">
        <f t="shared" si="0"/>
        <v>7660.84</v>
      </c>
      <c r="F55" s="323">
        <f t="shared" si="0"/>
        <v>0</v>
      </c>
      <c r="G55" s="323">
        <f t="shared" si="0"/>
        <v>0</v>
      </c>
      <c r="H55" s="323">
        <f t="shared" si="0"/>
        <v>0</v>
      </c>
      <c r="I55" s="322">
        <f t="shared" si="0"/>
        <v>0</v>
      </c>
      <c r="J55" s="322">
        <f t="shared" si="0"/>
        <v>123095.5</v>
      </c>
      <c r="K55" s="323">
        <f t="shared" si="0"/>
        <v>5359.8804758096758</v>
      </c>
      <c r="L55" s="323">
        <f t="shared" si="0"/>
        <v>0</v>
      </c>
      <c r="M55" s="323">
        <f t="shared" si="0"/>
        <v>0</v>
      </c>
      <c r="N55" s="323">
        <f t="shared" si="0"/>
        <v>0</v>
      </c>
      <c r="O55" s="322">
        <f t="shared" si="0"/>
        <v>0</v>
      </c>
      <c r="P55" s="322">
        <f t="shared" si="0"/>
        <v>22215.88</v>
      </c>
      <c r="Q55" s="323">
        <f t="shared" si="0"/>
        <v>1593.1195241903238</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92626.32</v>
      </c>
      <c r="E56" s="319">
        <v>7660.84</v>
      </c>
      <c r="F56" s="319"/>
      <c r="G56" s="319"/>
      <c r="H56" s="319"/>
      <c r="I56" s="318"/>
      <c r="J56" s="318">
        <v>123095.5</v>
      </c>
      <c r="K56" s="319">
        <v>5359.8804758096758</v>
      </c>
      <c r="L56" s="319"/>
      <c r="M56" s="319"/>
      <c r="N56" s="319"/>
      <c r="O56" s="318"/>
      <c r="P56" s="318">
        <v>22215.88</v>
      </c>
      <c r="Q56" s="319">
        <v>1593.1195241903238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43825</v>
      </c>
      <c r="E57" s="319">
        <v>25942.799999999999</v>
      </c>
      <c r="F57" s="319"/>
      <c r="G57" s="319"/>
      <c r="H57" s="319"/>
      <c r="I57" s="318"/>
      <c r="J57" s="318">
        <v>135240</v>
      </c>
      <c r="K57" s="319">
        <v>24863.15</v>
      </c>
      <c r="L57" s="319"/>
      <c r="M57" s="319"/>
      <c r="N57" s="319"/>
      <c r="O57" s="318"/>
      <c r="P57" s="318">
        <v>245543</v>
      </c>
      <c r="Q57" s="319">
        <v>204098.63</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60336</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7262652.3799999999</v>
      </c>
      <c r="D5" s="403">
        <v>8586692.6600000001</v>
      </c>
      <c r="E5" s="454"/>
      <c r="F5" s="454"/>
      <c r="G5" s="448"/>
      <c r="H5" s="402">
        <v>1990292.81</v>
      </c>
      <c r="I5" s="403">
        <v>2453683.61</v>
      </c>
      <c r="J5" s="454"/>
      <c r="K5" s="454"/>
      <c r="L5" s="448"/>
      <c r="M5" s="402">
        <v>1840426.93</v>
      </c>
      <c r="N5" s="403">
        <v>848264.19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7237040.6454999996</v>
      </c>
      <c r="D6" s="398">
        <v>9687249.9432999995</v>
      </c>
      <c r="E6" s="400">
        <f>SUM('Pt 1 Summary of Data'!E$12,'Pt 1 Summary of Data'!E$22)+SUM('Pt 1 Summary of Data'!G$12,'Pt 1 Summary of Data'!G$22)-SUM('Pt 1 Summary of Data'!H$12,'Pt 1 Summary of Data'!H$22)</f>
        <v>8101809.7523999996</v>
      </c>
      <c r="F6" s="400">
        <f t="shared" ref="F6:F11" si="0">SUM(C6:E6)</f>
        <v>25026100.341199998</v>
      </c>
      <c r="G6" s="401">
        <f>SUM('Pt 1 Summary of Data'!I$12,'Pt 1 Summary of Data'!I$22)</f>
        <v>0</v>
      </c>
      <c r="H6" s="397">
        <v>1992232.2938303903</v>
      </c>
      <c r="I6" s="398">
        <v>2398796.9535983671</v>
      </c>
      <c r="J6" s="400">
        <f>SUM('Pt 1 Summary of Data'!K$12,'Pt 1 Summary of Data'!K$22)+SUM('Pt 1 Summary of Data'!M$12,'Pt 1 Summary of Data'!M$22)-SUM('Pt 1 Summary of Data'!N$12,'Pt 1 Summary of Data'!N$22)</f>
        <v>4213333.2972246818</v>
      </c>
      <c r="K6" s="400">
        <f>SUM(H6:J6)</f>
        <v>8604362.544653438</v>
      </c>
      <c r="L6" s="401">
        <f>SUM('Pt 1 Summary of Data'!O$12,'Pt 1 Summary of Data'!O$22)</f>
        <v>0</v>
      </c>
      <c r="M6" s="397">
        <v>1867453.9601612168</v>
      </c>
      <c r="N6" s="398">
        <v>838771.69490066147</v>
      </c>
      <c r="O6" s="400">
        <f>SUM('Pt 1 Summary of Data'!Q$12,'Pt 1 Summary of Data'!Q$22)+SUM('Pt 1 Summary of Data'!S$12,'Pt 1 Summary of Data'!S$22)-SUM('Pt 1 Summary of Data'!T$12,'Pt 1 Summary of Data'!T$22)</f>
        <v>1214124.4978747265</v>
      </c>
      <c r="P6" s="400">
        <f>SUM(M6:O6)</f>
        <v>3920350.1529366048</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110789.91</v>
      </c>
      <c r="D7" s="398">
        <v>106766.08</v>
      </c>
      <c r="E7" s="400">
        <f>SUM('Pt 1 Summary of Data'!E$37:E$41)+SUM('Pt 1 Summary of Data'!G$37:G$41)-SUM('Pt 1 Summary of Data'!H$37:H$41)+MAX(0,MIN('Pt 1 Summary of Data'!E$42+'Pt 1 Summary of Data'!G$42-'Pt 1 Summary of Data'!H$42,0.3%*('Pt 1 Summary of Data'!E$5+'Pt 1 Summary of Data'!G$5-'Pt 1 Summary of Data'!H$5-SUM(E$9:E$11))))</f>
        <v>229063.50999999998</v>
      </c>
      <c r="F7" s="400">
        <f t="shared" si="0"/>
        <v>446619.5</v>
      </c>
      <c r="G7" s="401">
        <f>SUM('Pt 1 Summary of Data'!I$37:I$41)+MAX(0,MIN(VALUE('Pt 1 Summary of Data'!I$42),0.3%*('Pt 1 Summary of Data'!I$5-SUM(G$9:G$10))))</f>
        <v>0</v>
      </c>
      <c r="H7" s="397">
        <v>42763.72</v>
      </c>
      <c r="I7" s="398">
        <v>50883.33</v>
      </c>
      <c r="J7" s="400">
        <f>SUM('Pt 1 Summary of Data'!K$37:K$41)+SUM('Pt 1 Summary of Data'!M$37:M$41)-SUM('Pt 1 Summary of Data'!N$37:N$41)+MAX(0,MIN('Pt 1 Summary of Data'!K$42+'Pt 1 Summary of Data'!M$42-'Pt 1 Summary of Data'!N$42,0.3%*('Pt 1 Summary of Data'!K$5+'Pt 1 Summary of Data'!M$5-'Pt 1 Summary of Data'!N$5-SUM(J$10:J$11))))</f>
        <v>63501.747880847666</v>
      </c>
      <c r="K7" s="400">
        <f>SUM(H7:J7)</f>
        <v>157148.79788084768</v>
      </c>
      <c r="L7" s="401">
        <f>SUM('Pt 1 Summary of Data'!O$37:O$41)+MAX(0,MIN(VALUE('Pt 1 Summary of Data'!O$42),0.3%*('Pt 1 Summary of Data'!O$5-L$10)))</f>
        <v>0</v>
      </c>
      <c r="M7" s="397">
        <v>31493.53</v>
      </c>
      <c r="N7" s="398">
        <v>15230.35</v>
      </c>
      <c r="O7" s="400">
        <f>SUM('Pt 1 Summary of Data'!Q$37:Q$41)+SUM('Pt 1 Summary of Data'!S$37:S$41)-SUM('Pt 1 Summary of Data'!T$37:T$41)+MAX(0,MIN('Pt 1 Summary of Data'!Q$42+'Pt 1 Summary of Data'!S$42-'Pt 1 Summary of Data'!T$42,0.3%*('Pt 1 Summary of Data'!Q$5+'Pt 1 Summary of Data'!S$5-'Pt 1 Summary of Data'!T$5)))</f>
        <v>287973.98211915232</v>
      </c>
      <c r="P7" s="400">
        <f>SUM(M7:O7)</f>
        <v>334697.86211915233</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1866817.18</v>
      </c>
      <c r="E9" s="400">
        <f>'Pt 2 Premium and Claims'!E$15+'Pt 2 Premium and Claims'!G$15-'Pt 2 Premium and Claims'!H$15</f>
        <v>1389389.8</v>
      </c>
      <c r="F9" s="400">
        <f t="shared" si="0"/>
        <v>3256206.98</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2184957.04</v>
      </c>
      <c r="E10" s="400">
        <f>'Pt 2 Premium and Claims'!E$16+'Pt 2 Premium and Claims'!G$16-'Pt 2 Premium and Claims'!H$16</f>
        <v>1622203.69</v>
      </c>
      <c r="F10" s="400">
        <f t="shared" si="0"/>
        <v>3807160.73</v>
      </c>
      <c r="G10" s="401">
        <f>'Pt 2 Premium and Claims'!I$16</f>
        <v>0</v>
      </c>
      <c r="H10" s="443"/>
      <c r="I10" s="398">
        <v>721767.42</v>
      </c>
      <c r="J10" s="400">
        <f>'Pt 2 Premium and Claims'!K$16+'Pt 2 Premium and Claims'!M$16-'Pt 2 Premium and Claims'!N$16</f>
        <v>300433.17</v>
      </c>
      <c r="K10" s="400">
        <f>SUM(H10:J10)</f>
        <v>1022200.5900000001</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7347830.5554999998</v>
      </c>
      <c r="D12" s="400">
        <f>SUM(D$6:D$7) - SUM(D$8:D$11)+IF(AND(OR('Company Information'!$C$12="District of Columbia",'Company Information'!$C$12="Massachusetts",'Company Information'!$C$12="Vermont"),SUM($C$6:$F$11,$C$15:$F$16,$C$38:$D$38)&lt;&gt;0),SUM(I$6:I$7) - SUM(I$10:I$11),0)</f>
        <v>5742241.8032999998</v>
      </c>
      <c r="E12" s="400">
        <f>SUM(E$6:E$7)-SUM(E$8:E$11)+IF(AND(OR('Company Information'!$C$12="District of Columbia",'Company Information'!$C$12="Massachusetts",'Company Information'!$C$12="Vermont"),SUM($C$6:$F$11,$C$15:$F$16,$C$38:$D$38)&lt;&gt;0),SUM(J$6:J$7)-SUM(J$10:J$11),0)</f>
        <v>5319279.7723999992</v>
      </c>
      <c r="F12" s="400">
        <f>IFERROR(SUM(C$12:E$12)+C$17*MAX(0,E$50-C$50)+D$17*MAX(0,E$50-D$50),0)</f>
        <v>18409352.131200001</v>
      </c>
      <c r="G12" s="447"/>
      <c r="H12" s="399">
        <f>SUM(H$6:H$7)+IF(AND(OR('Company Information'!$C$12="District of Columbia",'Company Information'!$C$12="Massachusetts",'Company Information'!$C$12="Vermont"),SUM($H$6:$K$11,$H$15:$K$16,$H$38:$I$38)&lt;&gt;0),SUM(C$6:C$7),0)</f>
        <v>2034996.0138303903</v>
      </c>
      <c r="I12" s="400">
        <f>SUM(I$6:I$7) - SUM(I$10:I$11)+IF(AND(OR('Company Information'!$C$12="District of Columbia",'Company Information'!$C$12="Massachusetts",'Company Information'!$C$12="Vermont"),SUM($H$6:$K$11,$H$15:$K$16,$H$38:$I$38)&lt;&gt;0),SUM(D$6:D$7) - SUM(D$8:D$11),0)</f>
        <v>1727912.8635983672</v>
      </c>
      <c r="J12" s="400">
        <f>SUM(J$6:J$7)-SUM(J$10:J$11)+IF(AND(OR('Company Information'!$C$12="District of Columbia",'Company Information'!$C$12="Massachusetts",'Company Information'!$C$12="Vermont"),SUM($H$6:$K$11,$H$15:$K$16,$H$38:$I$38)&lt;&gt;0),SUM(E$6:E$7)-SUM(E$8:E$11),0)</f>
        <v>3976401.87510553</v>
      </c>
      <c r="K12" s="400">
        <f>IFERROR(SUM(H$12:J$12)+H$17*MAX(0,J$50-H$50)+I$17*MAX(0,J$50-I$50),0)</f>
        <v>7739310.7525342871</v>
      </c>
      <c r="L12" s="447"/>
      <c r="M12" s="399">
        <f>SUM(M$6:M$7)</f>
        <v>1898947.4901612168</v>
      </c>
      <c r="N12" s="400">
        <f>SUM(N$6:N$7)</f>
        <v>854002.04490066145</v>
      </c>
      <c r="O12" s="400">
        <f>SUM(O$6:O$7)</f>
        <v>1502098.4799938789</v>
      </c>
      <c r="P12" s="400">
        <f>SUM(M$12:O$12)+M$17*MAX(0,O$50-M$50)+N$17*MAX(0,O$50-N$50)</f>
        <v>4255048.015055757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6696219.6500000004</v>
      </c>
      <c r="D15" s="403">
        <v>7766113.5700000003</v>
      </c>
      <c r="E15" s="395">
        <f>SUM('Pt 1 Summary of Data'!E$5:E$7)+SUM('Pt 1 Summary of Data'!G$5:G$7)-SUM('Pt 1 Summary of Data'!H$5:H$7)-SUM(E$9:E$11)</f>
        <v>6050421.7699999996</v>
      </c>
      <c r="F15" s="395">
        <f>SUM(C15:E15)</f>
        <v>20512754.990000002</v>
      </c>
      <c r="G15" s="396">
        <f>SUM('Pt 1 Summary of Data'!I$5:I$7)-SUM(G$9:G$10)</f>
        <v>0</v>
      </c>
      <c r="H15" s="402">
        <v>3959388.46</v>
      </c>
      <c r="I15" s="403">
        <v>4751279.74</v>
      </c>
      <c r="J15" s="395">
        <f>SUM('Pt 1 Summary of Data'!K$5:K$7)+SUM('Pt 1 Summary of Data'!M$5:M$7)-SUM('Pt 1 Summary of Data'!N$5:N$7)-SUM(J$10:J$11)</f>
        <v>5644896.5199999996</v>
      </c>
      <c r="K15" s="395">
        <f>SUM(H15:J15)</f>
        <v>14355564.719999999</v>
      </c>
      <c r="L15" s="396">
        <f>SUM('Pt 1 Summary of Data'!O$5:O$7)-L$10</f>
        <v>0</v>
      </c>
      <c r="M15" s="402">
        <v>2267069.4300000002</v>
      </c>
      <c r="N15" s="403">
        <v>1328802.1399999999</v>
      </c>
      <c r="O15" s="395">
        <f>SUM('Pt 1 Summary of Data'!Q$5:Q$7)+SUM('Pt 1 Summary of Data'!S$5:S$7)-SUM('Pt 1 Summary of Data'!T$5:T$7)+N$56</f>
        <v>1315221.76</v>
      </c>
      <c r="P15" s="395">
        <f>SUM(M15:O15)</f>
        <v>4911093.33</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-474133.08</v>
      </c>
      <c r="D16" s="398">
        <v>34806.28</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292397.12965487549</v>
      </c>
      <c r="F16" s="400">
        <f>SUM(C16:E16)</f>
        <v>-146929.67034512456</v>
      </c>
      <c r="G16" s="401">
        <f>SUM('Pt 1 Summary of Data'!I$25:I$28,'Pt 1 Summary of Data'!I$30,'Pt 1 Summary of Data'!I$34:I$35)+IF('Company Information'!$C$15="No",IF(MAX('Pt 1 Summary of Data'!I$31:I$32)=0,MIN('Pt 1 Summary of Data'!I$31:I$32),MAX('Pt 1 Summary of Data'!I$31:I$32)),SUM('Pt 1 Summary of Data'!I$31:I$32))</f>
        <v>0</v>
      </c>
      <c r="H16" s="397">
        <v>396314.56</v>
      </c>
      <c r="I16" s="398">
        <v>463173.68</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627453.99273018958</v>
      </c>
      <c r="K16" s="400">
        <f>SUM(H16:J16)</f>
        <v>1486942.2327301896</v>
      </c>
      <c r="L16" s="401">
        <f>SUM('Pt 1 Summary of Data'!O$25:O$28,'Pt 1 Summary of Data'!O$30,'Pt 1 Summary of Data'!O$34:O$35)+IF('Company Information'!$C$15="No",IF(MAX('Pt 1 Summary of Data'!O$31:O$32)=0,MIN('Pt 1 Summary of Data'!O$31:O$32),MAX('Pt 1 Summary of Data'!O$31:O$32)),SUM('Pt 1 Summary of Data'!O$31:O$32))</f>
        <v>0</v>
      </c>
      <c r="M16" s="397">
        <v>-75718.78</v>
      </c>
      <c r="N16" s="398">
        <v>-17390.28</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-56668.749305492245</v>
      </c>
      <c r="P16" s="400">
        <f>SUM(M16:O16)</f>
        <v>-149777.80930549224</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7170352.7300000004</v>
      </c>
      <c r="D17" s="400">
        <f>D$15-D$16+IF(AND(OR('Company Information'!$C$12="District of Columbia",'Company Information'!$C$12="Massachusetts",'Company Information'!$C$12="Vermont"),SUM($C$6:$F$11,$C$15:$F$16,$C$38:$D$38)&lt;&gt;0),I$15-I$16,0)</f>
        <v>7731307.29</v>
      </c>
      <c r="E17" s="400">
        <f>E$15-E$16+IF(AND(OR('Company Information'!$C$12="District of Columbia",'Company Information'!$C$12="Massachusetts",'Company Information'!$C$12="Vermont"),SUM($C$6:$F$11,$C$15:$F$16,$C$38:$D$38)&lt;&gt;0),J$15-J$16,0)</f>
        <v>5758024.6403451245</v>
      </c>
      <c r="F17" s="400">
        <f>F$15-F$16+IF(AND(OR('Company Information'!$C$12="District of Columbia",'Company Information'!$C$12="Massachusetts",'Company Information'!$C$12="Vermont"),SUM($C$6:$F$11,$C$15:$F$16,$C$38:$D$38)&lt;&gt;0),K$15-K$16,0)</f>
        <v>20659684.660345126</v>
      </c>
      <c r="G17" s="450"/>
      <c r="H17" s="399">
        <f>H$15-H$16+IF(AND(OR('Company Information'!$C$12="District of Columbia",'Company Information'!$C$12="Massachusetts",'Company Information'!$C$12="Vermont"),SUM($H$6:$K$11,$H$15:$K$16,$H$38:$I$38)&lt;&gt;0),C$15-C$16,0)</f>
        <v>3563073.9</v>
      </c>
      <c r="I17" s="400">
        <f>I$15-I$16+IF(AND(OR('Company Information'!$C$12="District of Columbia",'Company Information'!$C$12="Massachusetts",'Company Information'!$C$12="Vermont"),SUM($H$6:$K$11,$H$15:$K$16,$H$38:$I$38)&lt;&gt;0),D$15-D$16,0)</f>
        <v>4288106.0600000005</v>
      </c>
      <c r="J17" s="400">
        <f>J$15-J$16+IF(AND(OR('Company Information'!$C$12="District of Columbia",'Company Information'!$C$12="Massachusetts",'Company Information'!$C$12="Vermont"),SUM($H$6:$K$11,$H$15:$K$16,$H$38:$I$38)&lt;&gt;0),E$15-E$16,0)</f>
        <v>5017442.5272698104</v>
      </c>
      <c r="K17" s="400">
        <f>K$15-K$16+IF(AND(OR('Company Information'!$C$12="District of Columbia",'Company Information'!$C$12="Massachusetts",'Company Information'!$C$12="Vermont"),SUM($H$6:$K$11,$H$15:$K$16,$H$38:$I$38)&lt;&gt;0),F$15-F$16,0)</f>
        <v>12868622.487269809</v>
      </c>
      <c r="L17" s="450"/>
      <c r="M17" s="399">
        <f>M$15-M$16</f>
        <v>2342788.21</v>
      </c>
      <c r="N17" s="400">
        <f>N$15-N$16</f>
        <v>1346192.42</v>
      </c>
      <c r="O17" s="400">
        <f>O$15-O$16</f>
        <v>1371890.5093054923</v>
      </c>
      <c r="P17" s="400">
        <f>P$15-P$16</f>
        <v>5060871.1393054919</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2401</v>
      </c>
      <c r="D38" s="405">
        <v>2378.58</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1270.5833333333333</v>
      </c>
      <c r="F38" s="432">
        <f>SUM(C$38:E$38)+IF(AND(OR('Company Information'!$C$12="District of Columbia",'Company Information'!$C$12="Massachusetts",'Company Information'!$C$12="Vermont"),SUM($C$6:$F$11,$C$15:$F$16,$C$38:$D$38)&lt;&gt;0,SUM(C$38:D$38)&lt;&gt;SUM(H$38:I$38)),SUM(H$38:I$38),0)</f>
        <v>6050.163333333333</v>
      </c>
      <c r="G38" s="448"/>
      <c r="H38" s="404">
        <v>532</v>
      </c>
      <c r="I38" s="405">
        <v>695.67</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833.58333333333337</v>
      </c>
      <c r="K38" s="432">
        <f>SUM(H$38:J$38)+IF(AND(OR('Company Information'!$C$12="District of Columbia",'Company Information'!$C$12="Massachusetts",'Company Information'!$C$12="Vermont"),SUM($H$6:$K$11,$H$15:$K$16,$H$38:$I$38)&lt;&gt;0,SUM(H$38:I$38)&lt;&gt;SUM(C$38:D$38)),SUM(C$38:D$38),0)</f>
        <v>2061.2533333333336</v>
      </c>
      <c r="L38" s="448"/>
      <c r="M38" s="404">
        <v>364</v>
      </c>
      <c r="N38" s="405">
        <v>186.75</v>
      </c>
      <c r="O38" s="432">
        <f>('Pt 1 Summary of Data'!Q$59+'Pt 1 Summary of Data'!S$59-'Pt 1 Summary of Data'!T$59)/12</f>
        <v>224.66666666666666</v>
      </c>
      <c r="P38" s="432">
        <f>SUM(M$38:O$38)</f>
        <v>775.41666666666663</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3.4689640666666667E-2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6.1067431111111105E-2</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8631</v>
      </c>
      <c r="G40" s="447"/>
      <c r="H40" s="443"/>
      <c r="I40" s="441"/>
      <c r="J40" s="441"/>
      <c r="K40" s="398">
        <v>1940</v>
      </c>
      <c r="L40" s="447"/>
      <c r="M40" s="443"/>
      <c r="N40" s="441"/>
      <c r="O40" s="441"/>
      <c r="P40" s="398">
        <v>1507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1.6445508</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5.7048876310079197E-2</v>
      </c>
      <c r="G42" s="447"/>
      <c r="H42" s="443"/>
      <c r="I42" s="441"/>
      <c r="J42" s="441"/>
      <c r="K42" s="436">
        <f ca="1">IF(OR(K$38&lt;1000,K$38&gt;=75000),0,K$39*K$41)</f>
        <v>6.1067431111111105E-2</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1.0247516171355771</v>
      </c>
      <c r="D45" s="436">
        <f>IF(OR(D$38&lt;1000,D$17&lt;=0),"",D$12/D$17)</f>
        <v>0.74272585319784901</v>
      </c>
      <c r="E45" s="436">
        <f>IF(OR(E$38&lt;1000,E$17&lt;=0),"",E$12/E$17)</f>
        <v>0.92380288460890858</v>
      </c>
      <c r="F45" s="436">
        <f>IF(OR(F$38&lt;1000,F$17&lt;=0),"",F$12/F$17)</f>
        <v>0.89107614340965779</v>
      </c>
      <c r="G45" s="447"/>
      <c r="H45" s="438" t="str">
        <f>IF(OR(H$38&lt;1000,H$17&lt;=0),"",H$12/H$17)</f>
        <v/>
      </c>
      <c r="I45" s="436" t="str">
        <f>IF(OR(I$38&lt;1000,I$17&lt;=0),"",I$12/I$17)</f>
        <v/>
      </c>
      <c r="J45" s="436" t="str">
        <f>IF(OR(J$38&lt;1000,J$17&lt;=0),"",J$12/J$17)</f>
        <v/>
      </c>
      <c r="K45" s="436">
        <f>IF(OR(K$38&lt;1000,K$17&lt;=0),"",K$12/K$17)</f>
        <v>0.60140941737861553</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5.7048876310079197E-2</v>
      </c>
      <c r="G47" s="447"/>
      <c r="H47" s="443"/>
      <c r="I47" s="441"/>
      <c r="J47" s="441"/>
      <c r="K47" s="436">
        <f ca="1">IF(K$45="","",K$42)</f>
        <v>6.1067431111111105E-2</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0.94799999999999995</v>
      </c>
      <c r="G48" s="447"/>
      <c r="H48" s="443"/>
      <c r="I48" s="441"/>
      <c r="J48" s="441"/>
      <c r="K48" s="436">
        <f ca="1">IF(K$45="","",ROUND(K$45+MAX(0,K$47),3))</f>
        <v>0.66200000000000003</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0.94799999999999995</v>
      </c>
      <c r="G51" s="447"/>
      <c r="H51" s="444"/>
      <c r="I51" s="442"/>
      <c r="J51" s="442"/>
      <c r="K51" s="436">
        <f ca="1">K$48</f>
        <v>0.66200000000000003</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5758024.6403451245</v>
      </c>
      <c r="G52" s="447"/>
      <c r="H52" s="443"/>
      <c r="I52" s="441"/>
      <c r="J52" s="441"/>
      <c r="K52" s="400">
        <f>IF(K$38&lt;1000,"",MAX(0,J$15-J$16))</f>
        <v>5017442.5272698104</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 ca="1">IF(OR(K$38&lt;1000,K$17&lt;=0),0,MAX(0,K$50-K$51)*K$52)</f>
        <v>692407.06876323395</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20607.544129999998</v>
      </c>
      <c r="D56" s="441"/>
      <c r="E56" s="441"/>
      <c r="F56" s="441"/>
      <c r="G56" s="447"/>
      <c r="H56" s="397">
        <v>22551.326010000001</v>
      </c>
      <c r="I56" s="441"/>
      <c r="J56" s="441"/>
      <c r="K56" s="441"/>
      <c r="L56" s="447"/>
      <c r="M56" s="397">
        <v>4358.1807779999999</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-1459.087227</v>
      </c>
      <c r="D57" s="441"/>
      <c r="E57" s="441"/>
      <c r="F57" s="441"/>
      <c r="G57" s="447"/>
      <c r="H57" s="397">
        <v>2257.2383589999999</v>
      </c>
      <c r="I57" s="441"/>
      <c r="J57" s="441"/>
      <c r="K57" s="441"/>
      <c r="L57" s="447"/>
      <c r="M57" s="397">
        <v>-145.55856560000001</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676</v>
      </c>
      <c r="D4" s="104">
        <f>'Pt 1 Summary of Data'!$K$56+'Pt 1 Summary of Data'!$M$56-'Pt 1 Summary of Data'!$N$56</f>
        <v>521</v>
      </c>
      <c r="E4" s="104">
        <f>'Pt 1 Summary of Data'!$Q$56+'Pt 1 Summary of Data'!$S$56-'Pt 1 Summary of Data'!$T$56</f>
        <v>155</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142</v>
      </c>
      <c r="E6" s="100"/>
      <c r="F6" s="184"/>
      <c r="G6" s="100"/>
      <c r="H6" s="100"/>
      <c r="I6" s="184"/>
      <c r="J6" s="184"/>
      <c r="K6" s="189"/>
    </row>
    <row r="7" spans="2:11" x14ac:dyDescent="0.2">
      <c r="B7" s="116" t="s">
        <v>102</v>
      </c>
      <c r="C7" s="101"/>
      <c r="D7" s="102">
        <v>2</v>
      </c>
      <c r="E7" s="102"/>
      <c r="F7" s="102"/>
      <c r="G7" s="102"/>
      <c r="H7" s="102"/>
      <c r="I7" s="190"/>
      <c r="J7" s="190"/>
      <c r="K7" s="193"/>
    </row>
    <row r="8" spans="2:11" x14ac:dyDescent="0.2">
      <c r="B8" s="116" t="s">
        <v>103</v>
      </c>
      <c r="C8" s="182"/>
      <c r="D8" s="102">
        <v>3</v>
      </c>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 ca="1">'Pt 3 MLR and Rebate Calculation'!$K$53</f>
        <v>692407.06876323395</v>
      </c>
      <c r="E11" s="97">
        <f>'Pt 3 MLR and Rebate Calculation'!$P$53</f>
        <v>0</v>
      </c>
      <c r="F11" s="97">
        <f>'Pt 3 MLR and Rebate Calculation'!$T$53</f>
        <v>0</v>
      </c>
      <c r="G11" s="97"/>
      <c r="H11" s="97"/>
      <c r="I11" s="178"/>
      <c r="J11" s="178"/>
      <c r="K11" s="196"/>
    </row>
    <row r="12" spans="2:11" x14ac:dyDescent="0.2">
      <c r="B12" s="124" t="s">
        <v>93</v>
      </c>
      <c r="C12" s="94"/>
      <c r="D12" s="95">
        <v>-3.42</v>
      </c>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692407.07</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857621.21</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11013.48</v>
      </c>
      <c r="E22" s="127"/>
      <c r="F22" s="127"/>
      <c r="G22" s="127"/>
      <c r="H22" s="127"/>
      <c r="I22" s="181"/>
      <c r="J22" s="181"/>
      <c r="K22" s="200"/>
    </row>
    <row r="23" spans="2:12" s="5" customFormat="1" ht="100.15" customHeight="1" x14ac:dyDescent="0.2">
      <c r="B23" s="91" t="s">
        <v>212</v>
      </c>
      <c r="C23" s="483" t="s">
        <v>513</v>
      </c>
      <c r="D23" s="484"/>
      <c r="E23" s="484"/>
      <c r="F23" s="484"/>
      <c r="G23" s="484"/>
      <c r="H23" s="484"/>
      <c r="I23" s="484"/>
      <c r="J23" s="484"/>
      <c r="K23" s="485"/>
    </row>
    <row r="24" spans="2:12" s="5" customFormat="1" ht="100.15" customHeight="1" x14ac:dyDescent="0.2">
      <c r="B24" s="90" t="s">
        <v>213</v>
      </c>
      <c r="C24" s="486" t="s">
        <v>514</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t="s">
        <v>509</v>
      </c>
      <c r="C10" s="28"/>
      <c r="D10" s="29"/>
      <c r="E10" s="29"/>
      <c r="F10" s="29"/>
      <c r="G10" s="29"/>
      <c r="H10" s="29"/>
      <c r="I10" s="27"/>
      <c r="J10" s="27"/>
      <c r="K10" s="2"/>
    </row>
    <row r="11" spans="1:12" s="5" customFormat="1" ht="18" customHeight="1" x14ac:dyDescent="0.2">
      <c r="B11" s="61" t="s">
        <v>510</v>
      </c>
      <c r="C11" s="28"/>
      <c r="D11" s="29"/>
      <c r="E11" s="29"/>
      <c r="F11" s="29"/>
      <c r="G11" s="29"/>
      <c r="H11" s="29"/>
      <c r="I11" s="27"/>
      <c r="J11" s="27"/>
      <c r="K11" s="2"/>
    </row>
    <row r="12" spans="1:12" s="5" customFormat="1" ht="18" customHeight="1" x14ac:dyDescent="0.2">
      <c r="B12" s="61" t="s">
        <v>511</v>
      </c>
      <c r="C12" s="28"/>
      <c r="D12" s="29"/>
      <c r="E12" s="29"/>
      <c r="F12" s="29"/>
      <c r="G12" s="29"/>
      <c r="H12" s="29"/>
      <c r="I12" s="27"/>
      <c r="J12" s="27"/>
      <c r="K12" s="2"/>
    </row>
    <row r="13" spans="1:12" s="5" customFormat="1" ht="18" customHeight="1" x14ac:dyDescent="0.2">
      <c r="B13" s="61" t="s">
        <v>512</v>
      </c>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