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B53" i="10"/>
  <c r="X53" i="10"/>
  <c r="T53" i="10"/>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O45" i="10"/>
  <c r="N45" i="10"/>
  <c r="M45" i="10"/>
  <c r="AB42" i="10"/>
  <c r="X42" i="10"/>
  <c r="T42" i="10"/>
  <c r="P42" i="10"/>
  <c r="AN41" i="10"/>
  <c r="AB41" i="10"/>
  <c r="X41" i="10"/>
  <c r="T41" i="10"/>
  <c r="P41" i="10"/>
  <c r="K41" i="10"/>
  <c r="F41" i="10"/>
  <c r="AB39" i="10"/>
  <c r="X39" i="10"/>
  <c r="T39" i="10"/>
  <c r="P39" i="10"/>
  <c r="AM38" i="10"/>
  <c r="AN38" i="10" s="1"/>
  <c r="AB38" i="10"/>
  <c r="AA38" i="10"/>
  <c r="X38" i="10"/>
  <c r="W38" i="10"/>
  <c r="T38" i="10"/>
  <c r="S38" i="10"/>
  <c r="P38" i="10"/>
  <c r="O38" i="10"/>
  <c r="L32" i="10"/>
  <c r="L27" i="10"/>
  <c r="L24" i="10"/>
  <c r="L23" i="10"/>
  <c r="L20" i="10"/>
  <c r="L19" i="10"/>
  <c r="L22" i="10" s="1"/>
  <c r="L30" i="10" s="1"/>
  <c r="L31" i="10" s="1"/>
  <c r="AL17" i="10"/>
  <c r="AL46" i="10" s="1"/>
  <c r="AK17" i="10"/>
  <c r="AK46" i="10" s="1"/>
  <c r="AB17" i="10"/>
  <c r="AA17" i="10"/>
  <c r="Z17" i="10"/>
  <c r="Y17" i="10"/>
  <c r="AB13" i="10" s="1"/>
  <c r="X17" i="10"/>
  <c r="W17" i="10"/>
  <c r="V17" i="10"/>
  <c r="U17" i="10"/>
  <c r="T17" i="10"/>
  <c r="S17" i="10"/>
  <c r="R17" i="10"/>
  <c r="Q17" i="10"/>
  <c r="P17" i="10"/>
  <c r="O17" i="10"/>
  <c r="N17" i="10"/>
  <c r="M17" i="10"/>
  <c r="AM16" i="10"/>
  <c r="AN16" i="10" s="1"/>
  <c r="AB16" i="10"/>
  <c r="AA16" i="10"/>
  <c r="X16" i="10"/>
  <c r="W16" i="10"/>
  <c r="W13" i="10" s="1"/>
  <c r="T16" i="10"/>
  <c r="S16" i="10"/>
  <c r="P16" i="10"/>
  <c r="O16" i="10"/>
  <c r="L16" i="10"/>
  <c r="K16" i="10"/>
  <c r="J16" i="10"/>
  <c r="G16" i="10"/>
  <c r="F16" i="10"/>
  <c r="E16" i="10"/>
  <c r="AB15" i="10"/>
  <c r="AA15" i="10"/>
  <c r="X15" i="10"/>
  <c r="W15" i="10"/>
  <c r="V13" i="10" s="1"/>
  <c r="T15" i="10"/>
  <c r="S15" i="10"/>
  <c r="P15" i="10"/>
  <c r="O15" i="10"/>
  <c r="L15" i="10"/>
  <c r="AL13" i="10"/>
  <c r="AK13" i="10"/>
  <c r="AA13" i="10"/>
  <c r="Z13" i="10"/>
  <c r="Y13" i="10"/>
  <c r="U13" i="10"/>
  <c r="S13" i="10"/>
  <c r="Q13" i="10"/>
  <c r="P12" i="10"/>
  <c r="P45" i="10" s="1"/>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M6" i="10"/>
  <c r="AN6" i="10" s="1"/>
  <c r="AB6" i="10"/>
  <c r="AA6" i="10"/>
  <c r="X6" i="10"/>
  <c r="W6" i="10"/>
  <c r="T6" i="10"/>
  <c r="S6" i="10"/>
  <c r="P6" i="10"/>
  <c r="O6" i="10"/>
  <c r="L6" i="10"/>
  <c r="K6" i="10"/>
  <c r="J6" i="10"/>
  <c r="G6" i="10"/>
  <c r="F6" i="10"/>
  <c r="E6" i="10"/>
  <c r="AU55" i="18"/>
  <c r="AU22" i="4" s="1"/>
  <c r="AT55" i="18"/>
  <c r="AT22" i="4" s="1"/>
  <c r="AS55" i="18"/>
  <c r="AS22" i="4" s="1"/>
  <c r="AR55" i="18"/>
  <c r="AQ55" i="18"/>
  <c r="AQ22" i="4" s="1"/>
  <c r="AP55" i="18"/>
  <c r="AP22" i="4" s="1"/>
  <c r="AO55" i="18"/>
  <c r="AO22" i="4" s="1"/>
  <c r="AN55" i="18"/>
  <c r="AN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H22" i="4" s="1"/>
  <c r="G55" i="18"/>
  <c r="F55" i="18"/>
  <c r="F22" i="4" s="1"/>
  <c r="E55" i="18"/>
  <c r="E22" i="4" s="1"/>
  <c r="D55" i="18"/>
  <c r="D22" i="4" s="1"/>
  <c r="AU54" i="18"/>
  <c r="AU12" i="4" s="1"/>
  <c r="AT54" i="18"/>
  <c r="AT12" i="4" s="1"/>
  <c r="AS54" i="18"/>
  <c r="AS12" i="4" s="1"/>
  <c r="AR54" i="18"/>
  <c r="AR12" i="4" s="1"/>
  <c r="AQ54" i="18"/>
  <c r="AQ12" i="4" s="1"/>
  <c r="AP54" i="18"/>
  <c r="AP12" i="4" s="1"/>
  <c r="AO54" i="18"/>
  <c r="AO12" i="4" s="1"/>
  <c r="AN54" i="18"/>
  <c r="AN12" i="4" s="1"/>
  <c r="AC54" i="18"/>
  <c r="AC12" i="4" s="1"/>
  <c r="AB54" i="18"/>
  <c r="AB12" i="4" s="1"/>
  <c r="AA54" i="18"/>
  <c r="AA12" i="4" s="1"/>
  <c r="Z54" i="18"/>
  <c r="Z12" i="4" s="1"/>
  <c r="Y54" i="18"/>
  <c r="Y12" i="4" s="1"/>
  <c r="X54" i="18"/>
  <c r="W54" i="18"/>
  <c r="W12" i="4" s="1"/>
  <c r="V54" i="18"/>
  <c r="V12" i="4" s="1"/>
  <c r="U54" i="18"/>
  <c r="T54" i="18"/>
  <c r="T12" i="4" s="1"/>
  <c r="S54" i="18"/>
  <c r="S12" i="4" s="1"/>
  <c r="R54" i="18"/>
  <c r="Q54" i="18"/>
  <c r="P54" i="18"/>
  <c r="P12" i="4" s="1"/>
  <c r="O54" i="18"/>
  <c r="O12" i="4" s="1"/>
  <c r="N54" i="18"/>
  <c r="N12" i="4" s="1"/>
  <c r="M54" i="18"/>
  <c r="L54" i="18"/>
  <c r="L12" i="4" s="1"/>
  <c r="K54" i="18"/>
  <c r="K12" i="4" s="1"/>
  <c r="J54" i="18"/>
  <c r="J12" i="4" s="1"/>
  <c r="I54" i="18"/>
  <c r="H54" i="18"/>
  <c r="G54" i="18"/>
  <c r="G12" i="4" s="1"/>
  <c r="F54" i="18"/>
  <c r="F12" i="4" s="1"/>
  <c r="E54" i="18"/>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R22" i="4"/>
  <c r="I22" i="4"/>
  <c r="G22" i="4"/>
  <c r="X12" i="4"/>
  <c r="U12" i="4"/>
  <c r="R12" i="4"/>
  <c r="Q12" i="4"/>
  <c r="M12" i="4"/>
  <c r="I12" i="4"/>
  <c r="H12" i="4"/>
  <c r="E12" i="4"/>
  <c r="AU5" i="4"/>
  <c r="AT5" i="4"/>
  <c r="AS5" i="4"/>
  <c r="AR5" i="4"/>
  <c r="AQ5" i="4"/>
  <c r="AP5" i="4"/>
  <c r="AO5" i="4"/>
  <c r="AM15" i="10" s="1"/>
  <c r="AN15" i="10" s="1"/>
  <c r="AN5" i="4"/>
  <c r="AC5" i="4"/>
  <c r="AB5" i="4"/>
  <c r="AA5" i="4"/>
  <c r="Z5" i="4"/>
  <c r="Y5" i="4"/>
  <c r="X5" i="4"/>
  <c r="W5" i="4"/>
  <c r="V5" i="4"/>
  <c r="U5" i="4"/>
  <c r="T5" i="4"/>
  <c r="S5" i="4"/>
  <c r="R5" i="4"/>
  <c r="Q5" i="4"/>
  <c r="P5" i="4"/>
  <c r="O5" i="4"/>
  <c r="N5" i="4"/>
  <c r="M5" i="4"/>
  <c r="L5" i="4"/>
  <c r="K5" i="4"/>
  <c r="J5" i="4"/>
  <c r="I5" i="4"/>
  <c r="G7" i="10" s="1"/>
  <c r="H5" i="4"/>
  <c r="G5" i="4"/>
  <c r="F5" i="4"/>
  <c r="E5" i="4"/>
  <c r="D5" i="4"/>
  <c r="J15" i="10" l="1"/>
  <c r="K15" i="10" s="1"/>
  <c r="AM7" i="10"/>
  <c r="AN17" i="10"/>
  <c r="AN39" i="10"/>
  <c r="AN42" i="10" s="1"/>
  <c r="AN52" i="10"/>
  <c r="AN46" i="10"/>
  <c r="AM17" i="10"/>
  <c r="AM46" i="10" s="1"/>
  <c r="G15" i="10"/>
  <c r="G27" i="10" s="1"/>
  <c r="J7" i="10"/>
  <c r="E15" i="10"/>
  <c r="F15" i="10" s="1"/>
  <c r="E7" i="10"/>
  <c r="P47" i="10"/>
  <c r="P48" i="10" s="1"/>
  <c r="P51" i="10" s="1"/>
  <c r="P53" i="10" s="1"/>
  <c r="E11" i="16" s="1"/>
  <c r="L29" i="10"/>
  <c r="L33" i="10" s="1"/>
  <c r="L34" i="10" s="1"/>
  <c r="L21" i="10"/>
  <c r="L26" i="10" s="1"/>
  <c r="L25" i="10" s="1"/>
  <c r="L28" i="10" s="1"/>
  <c r="T13" i="10"/>
  <c r="X13" i="10"/>
  <c r="R13" i="10"/>
  <c r="G32" i="10" l="1"/>
  <c r="G19" i="10"/>
  <c r="G23" i="10"/>
  <c r="G20" i="10"/>
  <c r="G22" i="10" s="1"/>
  <c r="G24" i="10"/>
  <c r="AN7" i="10"/>
  <c r="AN13" i="10" s="1"/>
  <c r="AM13" i="10"/>
  <c r="AN47" i="10"/>
  <c r="AN48" i="10" s="1"/>
  <c r="AN51" i="10" s="1"/>
  <c r="AN53" i="10" s="1"/>
  <c r="K7" i="10"/>
  <c r="I12" i="10" s="1"/>
  <c r="F7" i="10"/>
  <c r="C17" i="10" s="1"/>
  <c r="I17" i="10"/>
  <c r="I45" i="10" l="1"/>
  <c r="G21" i="10"/>
  <c r="G26" i="10" s="1"/>
  <c r="G25" i="10" s="1"/>
  <c r="G28" i="10" s="1"/>
  <c r="G30" i="10"/>
  <c r="G31" i="10" s="1"/>
  <c r="G29" i="10" s="1"/>
  <c r="G33" i="10" s="1"/>
  <c r="G34" i="10" s="1"/>
  <c r="J12" i="10"/>
  <c r="J17" i="10"/>
  <c r="J38" i="10"/>
  <c r="H12" i="10"/>
  <c r="K17" i="10"/>
  <c r="H17" i="10"/>
  <c r="D17" i="10"/>
  <c r="F17" i="10"/>
  <c r="E38" i="10"/>
  <c r="F38" i="10" s="1"/>
  <c r="E17" i="10"/>
  <c r="K38" i="10"/>
  <c r="E12" i="10"/>
  <c r="C12" i="10"/>
  <c r="C45" i="10" s="1"/>
  <c r="D12" i="10"/>
  <c r="H45" i="10" l="1"/>
  <c r="J45" i="10"/>
  <c r="K39" i="10" s="1"/>
  <c r="K12" i="10"/>
  <c r="K45" i="10" s="1"/>
  <c r="D45" i="10"/>
  <c r="E45" i="10"/>
  <c r="F12" i="10"/>
  <c r="F45" i="10" s="1"/>
  <c r="F52" i="10"/>
  <c r="F42" i="10"/>
  <c r="K52" i="10"/>
  <c r="K42" i="10"/>
  <c r="F39" i="10" l="1"/>
  <c r="F47" i="10"/>
  <c r="F48" i="10" s="1"/>
  <c r="F51" i="10" s="1"/>
  <c r="F53" i="10" s="1"/>
  <c r="C11" i="16" s="1"/>
  <c r="K47" i="10"/>
  <c r="K48" i="10" s="1"/>
  <c r="K51" i="10" s="1"/>
  <c r="K53" i="10" s="1"/>
  <c r="D11" i="16" s="1"/>
</calcChain>
</file>

<file path=xl/sharedStrings.xml><?xml version="1.0" encoding="utf-8"?>
<sst xmlns="http://schemas.openxmlformats.org/spreadsheetml/2006/main" count="641" uniqueCount="542">
  <si>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</si>
  <si>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</si>
  <si>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</si>
  <si>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</si>
  <si>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</si>
  <si>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</si>
  <si>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</si>
  <si>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</si>
  <si>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</si>
  <si>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</si>
  <si>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</si>
  <si>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</si>
  <si>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</si>
  <si>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</si>
  <si>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</si>
  <si>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</si>
  <si>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</si>
  <si>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</si>
  <si>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</si>
  <si>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</si>
  <si>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</si>
  <si>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</si>
  <si>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</si>
  <si>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</si>
  <si>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</si>
  <si>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</si>
  <si>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</si>
  <si>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</si>
  <si>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</si>
  <si>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</si>
  <si>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</si>
  <si>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</si>
  <si>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</si>
  <si>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</si>
  <si>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</si>
  <si>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</si>
  <si>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</si>
  <si>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</si>
  <si>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</si>
  <si>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</si>
  <si>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</si>
  <si>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</si>
  <si>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</si>
  <si>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</si>
  <si>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</si>
  <si>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</si>
  <si>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</si>
  <si>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</si>
  <si>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</si>
  <si>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</si>
  <si>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</si>
  <si>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</si>
  <si>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</si>
  <si>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</si>
  <si>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</si>
  <si>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</si>
  <si>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</si>
  <si>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</si>
  <si>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</si>
  <si>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</si>
  <si>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</si>
  <si>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</si>
  <si>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</si>
  <si>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</si>
  <si>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</si>
  <si>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</si>
  <si>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</si>
  <si>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</si>
  <si>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</si>
  <si>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</si>
  <si>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</si>
  <si>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</si>
  <si>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</si>
  <si>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</si>
  <si>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</si>
  <si>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</si>
  <si>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</si>
  <si>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</si>
  <si>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</si>
  <si>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</si>
  <si>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</si>
  <si>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</si>
  <si>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</si>
  <si>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</si>
  <si>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</si>
  <si>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</si>
  <si>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</si>
  <si>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</si>
  <si>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</si>
  <si>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</si>
  <si>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</si>
  <si>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</si>
  <si>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</si>
  <si>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</si>
  <si>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</si>
  <si>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</si>
  <si>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</si>
  <si>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</si>
  <si>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</si>
  <si>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</si>
  <si>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</si>
  <si>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</si>
  <si>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</si>
  <si>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</si>
  <si>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</si>
  <si>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</si>
  <si>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</si>
  <si>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</si>
  <si>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</si>
  <si>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</si>
  <si>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</si>
  <si>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</si>
  <si>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</si>
  <si>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</si>
  <si>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</si>
  <si>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</si>
  <si>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</si>
  <si>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</si>
  <si>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</si>
  <si>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</si>
  <si>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</si>
  <si>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</si>
  <si>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</si>
  <si>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</si>
  <si>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</si>
  <si>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</si>
  <si>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</si>
  <si>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</si>
  <si>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</si>
  <si>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</si>
  <si>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</si>
  <si>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</si>
  <si>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</si>
  <si>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</si>
  <si>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</si>
  <si>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</si>
  <si>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</si>
  <si>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</si>
  <si>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</si>
  <si>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</si>
  <si>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</si>
  <si>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</si>
  <si>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</si>
  <si>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</si>
  <si>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</si>
  <si>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</si>
  <si>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</si>
  <si>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</si>
  <si>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</si>
  <si>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</si>
  <si>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</si>
  <si>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</si>
  <si>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</si>
  <si>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</si>
  <si>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</si>
  <si>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</si>
  <si>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</si>
  <si>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</si>
  <si>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</si>
  <si>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</si>
  <si>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</si>
  <si>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</si>
  <si>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</si>
  <si>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</si>
  <si>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</si>
  <si>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</si>
  <si>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</si>
  <si>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</si>
  <si>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</si>
  <si>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</si>
  <si>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</si>
  <si>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</si>
  <si>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</si>
  <si>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</si>
  <si>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</si>
  <si>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</si>
  <si>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</si>
  <si>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</si>
  <si>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</si>
  <si>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</si>
  <si>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</si>
  <si>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</si>
  <si>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</si>
  <si>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</si>
  <si>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</si>
  <si>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</si>
  <si>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</si>
  <si>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</si>
  <si>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</si>
  <si>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</si>
  <si>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</si>
  <si>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</si>
  <si>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</si>
  <si>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</si>
  <si>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</si>
  <si>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</si>
  <si>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</si>
  <si>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</si>
  <si>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</si>
  <si>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</si>
  <si>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</si>
  <si>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</si>
  <si>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</si>
  <si>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</si>
  <si>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</si>
  <si>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</si>
  <si>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</si>
  <si>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</si>
  <si>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</si>
  <si>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</si>
  <si>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</si>
  <si>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</si>
  <si>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</si>
  <si>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</si>
  <si>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</si>
  <si>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</si>
  <si>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</si>
  <si>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</si>
  <si>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</si>
  <si>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</si>
  <si>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</si>
  <si>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</si>
  <si>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</si>
  <si>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</si>
  <si>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</si>
  <si>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</si>
  <si>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</si>
  <si>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</si>
  <si>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</si>
  <si>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</si>
  <si>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</si>
  <si>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</si>
  <si>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</si>
  <si>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</si>
  <si>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</si>
  <si>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</si>
  <si>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</si>
  <si>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</si>
  <si>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</si>
  <si>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</si>
  <si>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</si>
  <si>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</si>
  <si>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</si>
  <si>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</si>
  <si>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</si>
  <si>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</si>
  <si>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</si>
  <si>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</si>
  <si>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</si>
  <si>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</si>
  <si>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</si>
  <si>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</si>
  <si>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</si>
  <si>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</si>
  <si>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</si>
  <si>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</si>
  <si>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</si>
  <si>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</si>
  <si>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</si>
  <si>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</si>
  <si>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</si>
  <si>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</si>
  <si>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</si>
  <si>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</si>
  <si>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</si>
  <si>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</si>
  <si>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</si>
  <si>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</si>
  <si>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</si>
  <si>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</si>
  <si>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</si>
  <si>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</si>
  <si>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</si>
  <si>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</si>
  <si>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</si>
  <si>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</si>
  <si>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</si>
  <si>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</si>
  <si>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</si>
  <si>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</si>
  <si>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</si>
  <si>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</si>
  <si>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</si>
  <si>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</si>
  <si>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</si>
  <si>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</si>
  <si>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</si>
  <si>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</si>
  <si>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</si>
  <si>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</si>
  <si>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</si>
  <si>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</si>
  <si>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</si>
  <si>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</si>
  <si>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</si>
  <si>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</si>
  <si>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</si>
  <si>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</si>
  <si>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</si>
  <si>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</si>
  <si>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</si>
  <si>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</si>
  <si>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</si>
  <si>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</si>
  <si>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</si>
  <si>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</si>
  <si>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</si>
  <si>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</si>
  <si>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</si>
  <si>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</si>
  <si>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</si>
  <si>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</si>
  <si>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</si>
  <si>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</si>
  <si>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</si>
  <si>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</si>
  <si>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</si>
  <si>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</si>
  <si>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</si>
  <si>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</si>
  <si>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</si>
  <si>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</si>
  <si>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</si>
  <si>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</si>
  <si>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</si>
  <si>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</si>
  <si>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</si>
  <si>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</si>
  <si>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</si>
  <si>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</si>
  <si>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</si>
  <si>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</si>
  <si>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</si>
  <si>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</si>
  <si>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</si>
  <si>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</si>
  <si>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</si>
  <si>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</si>
  <si>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</si>
  <si>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</si>
  <si>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</si>
  <si>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</si>
  <si>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</si>
  <si>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</si>
  <si>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</si>
  <si>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</si>
  <si>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</si>
  <si>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</si>
  <si>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</si>
  <si>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</si>
  <si>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</si>
  <si>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</si>
  <si>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</si>
  <si>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</si>
  <si>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</si>
  <si>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</si>
  <si>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</si>
  <si>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</si>
  <si>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</si>
  <si>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</si>
  <si>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</si>
  <si>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</si>
  <si>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</si>
  <si>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</si>
  <si>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</si>
  <si>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</si>
  <si>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</si>
  <si>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</si>
  <si>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</si>
  <si>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</si>
  <si>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</si>
  <si>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</si>
  <si>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</si>
  <si>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</si>
  <si>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</si>
  <si>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</si>
  <si>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</si>
  <si>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</si>
  <si>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</si>
  <si>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</si>
  <si>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</si>
  <si>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</si>
  <si>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</si>
  <si>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</si>
  <si>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</si>
  <si>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</si>
  <si>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</si>
  <si>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</si>
  <si>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</si>
  <si>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</si>
  <si>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</si>
  <si>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</si>
  <si>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</si>
  <si>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</si>
  <si>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</si>
  <si>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</si>
  <si>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</si>
  <si>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</si>
  <si>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</si>
  <si>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</si>
  <si>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</si>
  <si>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</si>
  <si>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</si>
  <si>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</si>
  <si>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</si>
  <si>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</si>
  <si>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</si>
  <si>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</si>
  <si>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</si>
  <si>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</si>
  <si>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</si>
  <si>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</si>
  <si>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</si>
  <si>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</si>
  <si>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</si>
  <si>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</si>
  <si>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</si>
  <si>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</si>
  <si>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</si>
  <si>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</si>
  <si>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</si>
  <si>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</si>
  <si>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</si>
  <si>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</si>
  <si>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</si>
  <si>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</si>
  <si>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</si>
  <si>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</si>
  <si>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</si>
  <si>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</si>
  <si>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</si>
  <si>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</si>
  <si>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</si>
  <si>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</si>
  <si>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</si>
  <si>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</si>
  <si>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</si>
  <si>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</si>
  <si>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</si>
  <si>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</si>
  <si>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</si>
  <si>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</si>
  <si>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</si>
  <si>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</si>
  <si>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</si>
  <si>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</si>
  <si>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</si>
  <si>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</si>
  <si>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</si>
  <si>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</si>
  <si>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</si>
  <si>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</si>
  <si>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</si>
  <si>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</si>
  <si>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</si>
  <si>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</si>
  <si>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</si>
  <si>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</si>
  <si>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</si>
  <si>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</si>
  <si>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</si>
  <si>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</si>
  <si>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</si>
  <si>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</si>
  <si>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</si>
  <si>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</si>
  <si>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</si>
  <si>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</si>
  <si>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</si>
  <si>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</si>
  <si>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</si>
  <si>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</si>
  <si>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</si>
  <si>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</si>
  <si>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</si>
  <si>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</si>
  <si>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</si>
  <si>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</si>
  <si>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</si>
  <si>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</si>
  <si>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</si>
  <si>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</si>
  <si>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</si>
  <si>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</si>
  <si>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</si>
  <si>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</si>
  <si>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</si>
  <si>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</si>
  <si>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</si>
  <si>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</si>
  <si>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</si>
  <si>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</si>
  <si>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</si>
  <si>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</si>
  <si>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</si>
  <si>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</si>
  <si>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</si>
  <si>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</si>
  <si>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</si>
  <si>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</si>
  <si>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</si>
  <si>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</si>
  <si>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</si>
  <si>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</si>
  <si>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</si>
  <si>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219</t>
  </si>
  <si>
    <t>Humana Employers Health Plan of Georgia, Inc.</t>
  </si>
  <si>
    <t>Humana Health Benefit Plan of Louisiana, Inc.</t>
  </si>
  <si>
    <t>Humana Health Insurance Company of Florida, Inc.</t>
  </si>
  <si>
    <t>Humana Health Plan of Ohio, Inc.</t>
  </si>
  <si>
    <t>Humana Health Plan of Texas, Inc.</t>
  </si>
  <si>
    <t>Humana Health Plan, Inc.</t>
  </si>
  <si>
    <t>Humana Insurance Company of Kentucky</t>
  </si>
  <si>
    <t>Humana Insurance of Puerto Rico, Inc.</t>
  </si>
  <si>
    <t>Humana Medical Plan, Inc.</t>
  </si>
  <si>
    <t>Humana Wisconsin Health Organization Insurance Corporation</t>
  </si>
  <si>
    <t>Emphesys Insurance Company</t>
  </si>
  <si>
    <t>LINCOLN NATIONAL LIFE INSURANCE CO</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</si>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</sst>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O56" sqref="AO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817994855</v>
      </c>
      <c r="E5" s="213">
        <f>SUM('Pt 2 Premium and Claims'!E$5,'Pt 2 Premium and Claims'!E$6,-'Pt 2 Premium and Claims'!E$7,-'Pt 2 Premium and Claims'!E$13,'Pt 2 Premium and Claims'!E$14:'Pt 2 Premium and Claims'!E$17)</f>
        <v>874937281.22000003</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434959297</v>
      </c>
      <c r="J5" s="212">
        <f>SUM('Pt 2 Premium and Claims'!J$5,'Pt 2 Premium and Claims'!J$6,-'Pt 2 Premium and Claims'!J$7,-'Pt 2 Premium and Claims'!J$13,'Pt 2 Premium and Claims'!J$14,'Pt 2 Premium and Claims'!J$16:'Pt 2 Premium and Claims'!J$17)</f>
        <v>1101568895</v>
      </c>
      <c r="K5" s="213">
        <f>SUM('Pt 2 Premium and Claims'!K$5,'Pt 2 Premium and Claims'!K$6,-'Pt 2 Premium and Claims'!K$7,-'Pt 2 Premium and Claims'!K$13,'Pt 2 Premium and Claims'!K$14,'Pt 2 Premium and Claims'!K$16:'Pt 2 Premium and Claims'!K$17)</f>
        <v>843427714.0999999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496772274</v>
      </c>
      <c r="Q5" s="213">
        <f>SUM('Pt 2 Premium and Claims'!Q$5,'Pt 2 Premium and Claims'!Q$6,-'Pt 2 Premium and Claims'!Q$7,-'Pt 2 Premium and Claims'!Q$13,'Pt 2 Premium and Claims'!Q$14)</f>
        <v>417418866.50999999</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493277.12</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608244933</v>
      </c>
      <c r="AU5" s="214">
        <f>SUM('Pt 2 Premium and Claims'!AU$5,'Pt 2 Premium and Claims'!AU$6,-'Pt 2 Premium and Claims'!AU$7,-'Pt 2 Premium and Claims'!AU$13,'Pt 2 Premium and Claims'!AU$14)</f>
        <v>20114468303</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-420482</v>
      </c>
      <c r="E7" s="217">
        <v>-420108.82</v>
      </c>
      <c r="F7" s="217"/>
      <c r="G7" s="217"/>
      <c r="H7" s="217"/>
      <c r="I7" s="216">
        <v>0</v>
      </c>
      <c r="J7" s="216">
        <v>-638360</v>
      </c>
      <c r="K7" s="217">
        <v>-615585.42000000004</v>
      </c>
      <c r="L7" s="217"/>
      <c r="M7" s="217"/>
      <c r="N7" s="217"/>
      <c r="O7" s="216"/>
      <c r="P7" s="216">
        <v>-449957</v>
      </c>
      <c r="Q7" s="217">
        <v>-345170.66</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-285262</v>
      </c>
      <c r="AU7" s="220">
        <v>-2</v>
      </c>
      <c r="AV7" s="290"/>
      <c r="AW7" s="297"/>
    </row>
    <row r="8" spans="1:49" ht="25.5" x14ac:dyDescent="0.2">
      <c r="B8" s="239" t="s">
        <v>225</v>
      </c>
      <c r="C8" s="203" t="s">
        <v>59</v>
      </c>
      <c r="D8" s="216">
        <v>-5124747</v>
      </c>
      <c r="E8" s="268"/>
      <c r="F8" s="269"/>
      <c r="G8" s="269"/>
      <c r="H8" s="269"/>
      <c r="I8" s="272"/>
      <c r="J8" s="216">
        <v>-1615330</v>
      </c>
      <c r="K8" s="268"/>
      <c r="L8" s="269"/>
      <c r="M8" s="269"/>
      <c r="N8" s="269"/>
      <c r="O8" s="272"/>
      <c r="P8" s="216">
        <v>-617541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-24583147</v>
      </c>
      <c r="AU8" s="220">
        <v>-17356727</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791504654</v>
      </c>
      <c r="E12" s="213">
        <f>'Pt 2 Premium and Claims'!E$54</f>
        <v>800106674.93000007</v>
      </c>
      <c r="F12" s="213">
        <f>'Pt 2 Premium and Claims'!F$54</f>
        <v>0</v>
      </c>
      <c r="G12" s="213">
        <f>'Pt 2 Premium and Claims'!G$54</f>
        <v>0</v>
      </c>
      <c r="H12" s="213">
        <f>'Pt 2 Premium and Claims'!H$54</f>
        <v>0</v>
      </c>
      <c r="I12" s="212">
        <f>'Pt 2 Premium and Claims'!I$54</f>
        <v>449642157</v>
      </c>
      <c r="J12" s="212">
        <f>'Pt 2 Premium and Claims'!J$54</f>
        <v>846184155</v>
      </c>
      <c r="K12" s="213">
        <f>'Pt 2 Premium and Claims'!K$54</f>
        <v>643252501.35000002</v>
      </c>
      <c r="L12" s="213">
        <f>'Pt 2 Premium and Claims'!L$54</f>
        <v>0</v>
      </c>
      <c r="M12" s="213">
        <f>'Pt 2 Premium and Claims'!M$54</f>
        <v>0</v>
      </c>
      <c r="N12" s="213">
        <f>'Pt 2 Premium and Claims'!N$54</f>
        <v>0</v>
      </c>
      <c r="O12" s="212">
        <f>'Pt 2 Premium and Claims'!O$54</f>
        <v>0</v>
      </c>
      <c r="P12" s="212">
        <f>'Pt 2 Premium and Claims'!P$54</f>
        <v>430376705</v>
      </c>
      <c r="Q12" s="213">
        <f>'Pt 2 Premium and Claims'!Q$54</f>
        <v>347278025.75</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310736.34379999997</v>
      </c>
      <c r="AP12" s="213">
        <f>'Pt 2 Premium and Claims'!AP$54</f>
        <v>0</v>
      </c>
      <c r="AQ12" s="213">
        <f>'Pt 2 Premium and Claims'!AQ$54</f>
        <v>0</v>
      </c>
      <c r="AR12" s="213">
        <f>'Pt 2 Premium and Claims'!AR$54</f>
        <v>0</v>
      </c>
      <c r="AS12" s="212">
        <f>'Pt 2 Premium and Claims'!AS$54</f>
        <v>0</v>
      </c>
      <c r="AT12" s="214">
        <f>'Pt 2 Premium and Claims'!AT$54</f>
        <v>413388983</v>
      </c>
      <c r="AU12" s="214">
        <f>'Pt 2 Premium and Claims'!AU$54</f>
        <v>16933838831</v>
      </c>
      <c r="AV12" s="291"/>
      <c r="AW12" s="296"/>
    </row>
    <row r="13" spans="1:49" ht="25.5" x14ac:dyDescent="0.2">
      <c r="B13" s="239" t="s">
        <v>230</v>
      </c>
      <c r="C13" s="203" t="s">
        <v>37</v>
      </c>
      <c r="D13" s="216">
        <v>127750549</v>
      </c>
      <c r="E13" s="217">
        <v>133595469.52</v>
      </c>
      <c r="F13" s="217"/>
      <c r="G13" s="268"/>
      <c r="H13" s="269"/>
      <c r="I13" s="216">
        <v>73031100</v>
      </c>
      <c r="J13" s="216">
        <v>130888926</v>
      </c>
      <c r="K13" s="217">
        <v>128998700.91</v>
      </c>
      <c r="L13" s="217"/>
      <c r="M13" s="268"/>
      <c r="N13" s="269"/>
      <c r="O13" s="216"/>
      <c r="P13" s="216">
        <v>60006139</v>
      </c>
      <c r="Q13" s="217">
        <v>62402951.100000001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v>71331.22</v>
      </c>
      <c r="AP13" s="217"/>
      <c r="AQ13" s="268"/>
      <c r="AR13" s="269"/>
      <c r="AS13" s="216">
        <v>0</v>
      </c>
      <c r="AT13" s="220">
        <v>2821432</v>
      </c>
      <c r="AU13" s="220">
        <v>6171524280</v>
      </c>
      <c r="AV13" s="290"/>
      <c r="AW13" s="297"/>
    </row>
    <row r="14" spans="1:49" ht="25.5" x14ac:dyDescent="0.2">
      <c r="B14" s="239" t="s">
        <v>231</v>
      </c>
      <c r="C14" s="203" t="s">
        <v>6</v>
      </c>
      <c r="D14" s="216">
        <v>15147721</v>
      </c>
      <c r="E14" s="217">
        <v>14843313.939999999</v>
      </c>
      <c r="F14" s="217"/>
      <c r="G14" s="267"/>
      <c r="H14" s="270"/>
      <c r="I14" s="216">
        <v>8461362</v>
      </c>
      <c r="J14" s="216">
        <v>18559713</v>
      </c>
      <c r="K14" s="217">
        <v>18439044.969999999</v>
      </c>
      <c r="L14" s="217"/>
      <c r="M14" s="267"/>
      <c r="N14" s="270"/>
      <c r="O14" s="216"/>
      <c r="P14" s="216">
        <v>8417949</v>
      </c>
      <c r="Q14" s="217">
        <v>8823741.5600000005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v>-13016.13</v>
      </c>
      <c r="AP14" s="217"/>
      <c r="AQ14" s="267"/>
      <c r="AR14" s="270"/>
      <c r="AS14" s="216">
        <v>0</v>
      </c>
      <c r="AT14" s="220">
        <v>1864</v>
      </c>
      <c r="AU14" s="220">
        <v>2200113902</v>
      </c>
      <c r="AV14" s="290"/>
      <c r="AW14" s="297"/>
    </row>
    <row r="15" spans="1:49" ht="38.25" x14ac:dyDescent="0.2">
      <c r="B15" s="239" t="s">
        <v>232</v>
      </c>
      <c r="C15" s="203" t="s">
        <v>7</v>
      </c>
      <c r="D15" s="216">
        <v>29221</v>
      </c>
      <c r="E15" s="217">
        <v>27729.68</v>
      </c>
      <c r="F15" s="217"/>
      <c r="G15" s="267"/>
      <c r="H15" s="273"/>
      <c r="I15" s="216">
        <v>5941</v>
      </c>
      <c r="J15" s="216">
        <v>81593</v>
      </c>
      <c r="K15" s="217">
        <v>71983.039999999994</v>
      </c>
      <c r="L15" s="217"/>
      <c r="M15" s="267"/>
      <c r="N15" s="273"/>
      <c r="O15" s="216"/>
      <c r="P15" s="216">
        <v>58395</v>
      </c>
      <c r="Q15" s="217">
        <v>54772.19</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30226</v>
      </c>
      <c r="AU15" s="220">
        <v>510651</v>
      </c>
      <c r="AV15" s="290"/>
      <c r="AW15" s="297"/>
    </row>
    <row r="16" spans="1:49" ht="25.5" x14ac:dyDescent="0.2">
      <c r="B16" s="239" t="s">
        <v>233</v>
      </c>
      <c r="C16" s="203" t="s">
        <v>61</v>
      </c>
      <c r="D16" s="216">
        <v>-97117945</v>
      </c>
      <c r="E16" s="268"/>
      <c r="F16" s="269"/>
      <c r="G16" s="270"/>
      <c r="H16" s="270"/>
      <c r="I16" s="272"/>
      <c r="J16" s="216">
        <v>260683</v>
      </c>
      <c r="K16" s="268"/>
      <c r="L16" s="269"/>
      <c r="M16" s="270"/>
      <c r="N16" s="270"/>
      <c r="O16" s="272"/>
      <c r="P16" s="216">
        <v>18277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-17160359</v>
      </c>
      <c r="AU16" s="220">
        <v>-23266333</v>
      </c>
      <c r="AV16" s="290"/>
      <c r="AW16" s="297"/>
    </row>
    <row r="17" spans="1:49" x14ac:dyDescent="0.2">
      <c r="B17" s="239" t="s">
        <v>234</v>
      </c>
      <c r="C17" s="203" t="s">
        <v>62</v>
      </c>
      <c r="D17" s="216">
        <v>88605821</v>
      </c>
      <c r="E17" s="267"/>
      <c r="F17" s="270"/>
      <c r="G17" s="270"/>
      <c r="H17" s="270"/>
      <c r="I17" s="271"/>
      <c r="J17" s="216">
        <v>2628795</v>
      </c>
      <c r="K17" s="267"/>
      <c r="L17" s="270"/>
      <c r="M17" s="270"/>
      <c r="N17" s="270"/>
      <c r="O17" s="271"/>
      <c r="P17" s="216">
        <v>-5895819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-60957</v>
      </c>
      <c r="AV17" s="290"/>
      <c r="AW17" s="297"/>
    </row>
    <row r="18" spans="1:49" x14ac:dyDescent="0.2">
      <c r="B18" s="239" t="s">
        <v>235</v>
      </c>
      <c r="C18" s="203" t="s">
        <v>63</v>
      </c>
      <c r="D18" s="216">
        <v>16356411</v>
      </c>
      <c r="E18" s="267"/>
      <c r="F18" s="270"/>
      <c r="G18" s="270"/>
      <c r="H18" s="273"/>
      <c r="I18" s="271"/>
      <c r="J18" s="216">
        <v>5342231</v>
      </c>
      <c r="K18" s="267"/>
      <c r="L18" s="270"/>
      <c r="M18" s="270"/>
      <c r="N18" s="273"/>
      <c r="O18" s="271"/>
      <c r="P18" s="216">
        <v>2949875</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13309270</v>
      </c>
      <c r="E19" s="267"/>
      <c r="F19" s="270"/>
      <c r="G19" s="270"/>
      <c r="H19" s="270"/>
      <c r="I19" s="271"/>
      <c r="J19" s="216">
        <v>8956436</v>
      </c>
      <c r="K19" s="267"/>
      <c r="L19" s="270"/>
      <c r="M19" s="270"/>
      <c r="N19" s="270"/>
      <c r="O19" s="271"/>
      <c r="P19" s="216">
        <v>1574086</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6170430</v>
      </c>
      <c r="E20" s="267"/>
      <c r="F20" s="270"/>
      <c r="G20" s="270"/>
      <c r="H20" s="270"/>
      <c r="I20" s="271"/>
      <c r="J20" s="216">
        <v>985199</v>
      </c>
      <c r="K20" s="267"/>
      <c r="L20" s="270"/>
      <c r="M20" s="270"/>
      <c r="N20" s="270"/>
      <c r="O20" s="271"/>
      <c r="P20" s="216">
        <v>454850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60957</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1361913.6</v>
      </c>
      <c r="E22" s="222">
        <f>'Pt 2 Premium and Claims'!E$55</f>
        <v>1264469.3</v>
      </c>
      <c r="F22" s="222">
        <f>'Pt 2 Premium and Claims'!F$55</f>
        <v>0</v>
      </c>
      <c r="G22" s="222">
        <f>'Pt 2 Premium and Claims'!G$55</f>
        <v>0</v>
      </c>
      <c r="H22" s="222">
        <f>'Pt 2 Premium and Claims'!H$55</f>
        <v>0</v>
      </c>
      <c r="I22" s="221">
        <f>'Pt 2 Premium and Claims'!I$55</f>
        <v>505921</v>
      </c>
      <c r="J22" s="221">
        <f>'Pt 2 Premium and Claims'!J$55</f>
        <v>1538593.49</v>
      </c>
      <c r="K22" s="222">
        <f>'Pt 2 Premium and Claims'!K$55</f>
        <v>1166862.02</v>
      </c>
      <c r="L22" s="222">
        <f>'Pt 2 Premium and Claims'!L$55</f>
        <v>0</v>
      </c>
      <c r="M22" s="222">
        <f>'Pt 2 Premium and Claims'!M$55</f>
        <v>0</v>
      </c>
      <c r="N22" s="222">
        <f>'Pt 2 Premium and Claims'!N$55</f>
        <v>0</v>
      </c>
      <c r="O22" s="221">
        <f>'Pt 2 Premium and Claims'!O$55</f>
        <v>0</v>
      </c>
      <c r="P22" s="221">
        <f>'Pt 2 Premium and Claims'!P$55</f>
        <v>719350.08</v>
      </c>
      <c r="Q22" s="222">
        <f>'Pt 2 Premium and Claims'!Q$55</f>
        <v>599294.57999999996</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-28332527.129999999</v>
      </c>
      <c r="E25" s="217">
        <v>-33306895.82</v>
      </c>
      <c r="F25" s="217"/>
      <c r="G25" s="217"/>
      <c r="H25" s="217"/>
      <c r="I25" s="216">
        <v>-27838879</v>
      </c>
      <c r="J25" s="216">
        <v>43523058.439999998</v>
      </c>
      <c r="K25" s="217">
        <v>31699334.859999999</v>
      </c>
      <c r="L25" s="217"/>
      <c r="M25" s="217"/>
      <c r="N25" s="217"/>
      <c r="O25" s="216"/>
      <c r="P25" s="216">
        <v>-19535062.77</v>
      </c>
      <c r="Q25" s="217">
        <v>-10593724.08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v>-23647.9</v>
      </c>
      <c r="AP25" s="217"/>
      <c r="AQ25" s="217"/>
      <c r="AR25" s="217"/>
      <c r="AS25" s="216">
        <v>0</v>
      </c>
      <c r="AT25" s="220">
        <v>14464560.85</v>
      </c>
      <c r="AU25" s="220">
        <v>310342413.32999998</v>
      </c>
      <c r="AV25" s="220"/>
      <c r="AW25" s="297"/>
    </row>
    <row r="26" spans="1:49" s="5" customFormat="1" x14ac:dyDescent="0.2">
      <c r="A26" s="35"/>
      <c r="B26" s="242" t="s">
        <v>242</v>
      </c>
      <c r="C26" s="203"/>
      <c r="D26" s="216">
        <v>605720.54</v>
      </c>
      <c r="E26" s="217">
        <v>596873.81000000006</v>
      </c>
      <c r="F26" s="217"/>
      <c r="G26" s="217"/>
      <c r="H26" s="217"/>
      <c r="I26" s="216">
        <v>155198</v>
      </c>
      <c r="J26" s="216">
        <v>553338.17000000004</v>
      </c>
      <c r="K26" s="217">
        <v>424931.43</v>
      </c>
      <c r="L26" s="217"/>
      <c r="M26" s="217"/>
      <c r="N26" s="217"/>
      <c r="O26" s="216"/>
      <c r="P26" s="216">
        <v>293772.81</v>
      </c>
      <c r="Q26" s="217">
        <v>247602.03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v>456.66</v>
      </c>
      <c r="AP26" s="217"/>
      <c r="AQ26" s="217"/>
      <c r="AR26" s="217"/>
      <c r="AS26" s="216"/>
      <c r="AT26" s="220">
        <v>11493.91</v>
      </c>
      <c r="AU26" s="220">
        <v>668.06</v>
      </c>
      <c r="AV26" s="220"/>
      <c r="AW26" s="297"/>
    </row>
    <row r="27" spans="1:49" s="5" customFormat="1" x14ac:dyDescent="0.2">
      <c r="B27" s="242" t="s">
        <v>243</v>
      </c>
      <c r="C27" s="203"/>
      <c r="D27" s="216">
        <v>14114699.98</v>
      </c>
      <c r="E27" s="217">
        <v>13186283.76</v>
      </c>
      <c r="F27" s="217"/>
      <c r="G27" s="217"/>
      <c r="H27" s="217"/>
      <c r="I27" s="216">
        <v>6196991</v>
      </c>
      <c r="J27" s="216">
        <v>18356616.059999999</v>
      </c>
      <c r="K27" s="217">
        <v>13952779.859999999</v>
      </c>
      <c r="L27" s="217"/>
      <c r="M27" s="217"/>
      <c r="N27" s="217"/>
      <c r="O27" s="216"/>
      <c r="P27" s="216">
        <v>8521765.8699999992</v>
      </c>
      <c r="Q27" s="217">
        <v>7246907.2800000003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v>9790.6</v>
      </c>
      <c r="AP27" s="217"/>
      <c r="AQ27" s="217"/>
      <c r="AR27" s="217"/>
      <c r="AS27" s="216"/>
      <c r="AT27" s="220">
        <v>4141859.62</v>
      </c>
      <c r="AU27" s="220">
        <v>337209960.98000002</v>
      </c>
      <c r="AV27" s="293"/>
      <c r="AW27" s="297"/>
    </row>
    <row r="28" spans="1:49" s="5" customFormat="1" x14ac:dyDescent="0.2">
      <c r="A28" s="35"/>
      <c r="B28" s="242" t="s">
        <v>244</v>
      </c>
      <c r="C28" s="203"/>
      <c r="D28" s="216">
        <v>2390785.5499999998</v>
      </c>
      <c r="E28" s="217">
        <v>2248515.2200000002</v>
      </c>
      <c r="F28" s="217"/>
      <c r="G28" s="217"/>
      <c r="H28" s="217"/>
      <c r="I28" s="216">
        <v>762337</v>
      </c>
      <c r="J28" s="216">
        <v>1947547.72</v>
      </c>
      <c r="K28" s="217">
        <v>1476636.81</v>
      </c>
      <c r="L28" s="217"/>
      <c r="M28" s="217"/>
      <c r="N28" s="217"/>
      <c r="O28" s="216"/>
      <c r="P28" s="216">
        <v>973737.42</v>
      </c>
      <c r="Q28" s="217">
        <v>802954.88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1644.41</v>
      </c>
      <c r="AP28" s="217"/>
      <c r="AQ28" s="217"/>
      <c r="AR28" s="217"/>
      <c r="AS28" s="216">
        <v>0</v>
      </c>
      <c r="AT28" s="220">
        <v>1770215.45</v>
      </c>
      <c r="AU28" s="220">
        <v>37477599.530000001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-1725655.43</v>
      </c>
      <c r="E30" s="217">
        <v>-2064324.83</v>
      </c>
      <c r="F30" s="217"/>
      <c r="G30" s="217"/>
      <c r="H30" s="217"/>
      <c r="I30" s="216">
        <v>-2080290</v>
      </c>
      <c r="J30" s="216">
        <v>3695113.04</v>
      </c>
      <c r="K30" s="217">
        <v>2708784.66</v>
      </c>
      <c r="L30" s="217"/>
      <c r="M30" s="217"/>
      <c r="N30" s="217"/>
      <c r="O30" s="216"/>
      <c r="P30" s="216">
        <v>-1362365.3</v>
      </c>
      <c r="Q30" s="217">
        <v>-685345.15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-1649.58</v>
      </c>
      <c r="AP30" s="217"/>
      <c r="AQ30" s="217"/>
      <c r="AR30" s="217"/>
      <c r="AS30" s="216">
        <v>0</v>
      </c>
      <c r="AT30" s="220">
        <v>1503892.39</v>
      </c>
      <c r="AU30" s="220">
        <v>29377886.550000001</v>
      </c>
      <c r="AV30" s="220"/>
      <c r="AW30" s="297"/>
    </row>
    <row r="31" spans="1:49" x14ac:dyDescent="0.2">
      <c r="B31" s="242" t="s">
        <v>247</v>
      </c>
      <c r="C31" s="203"/>
      <c r="D31" s="216">
        <v>13301721.119999999</v>
      </c>
      <c r="E31" s="217">
        <v>12220874.949999999</v>
      </c>
      <c r="F31" s="217"/>
      <c r="G31" s="217"/>
      <c r="H31" s="217"/>
      <c r="I31" s="216">
        <v>6156565</v>
      </c>
      <c r="J31" s="216">
        <v>13712543.189999999</v>
      </c>
      <c r="K31" s="217">
        <v>9088519.1500000004</v>
      </c>
      <c r="L31" s="217"/>
      <c r="M31" s="217"/>
      <c r="N31" s="217"/>
      <c r="O31" s="216"/>
      <c r="P31" s="216">
        <v>4982619.3499999996</v>
      </c>
      <c r="Q31" s="217">
        <v>3582562.69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v>9092.23</v>
      </c>
      <c r="AP31" s="217"/>
      <c r="AQ31" s="217"/>
      <c r="AR31" s="217"/>
      <c r="AS31" s="216"/>
      <c r="AT31" s="220">
        <v>11124235.949999999</v>
      </c>
      <c r="AU31" s="220">
        <v>3174.65</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6765745.4100000001</v>
      </c>
      <c r="E34" s="217">
        <v>10156248.76</v>
      </c>
      <c r="F34" s="217"/>
      <c r="G34" s="217"/>
      <c r="H34" s="217"/>
      <c r="I34" s="216">
        <v>3431697</v>
      </c>
      <c r="J34" s="216">
        <v>8112914.5899999999</v>
      </c>
      <c r="K34" s="217">
        <v>7928317.4400000004</v>
      </c>
      <c r="L34" s="217"/>
      <c r="M34" s="217"/>
      <c r="N34" s="217"/>
      <c r="O34" s="216"/>
      <c r="P34" s="216">
        <v>3776614.11</v>
      </c>
      <c r="Q34" s="217">
        <v>3961211.26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7096.65</v>
      </c>
      <c r="AP34" s="217"/>
      <c r="AQ34" s="217"/>
      <c r="AR34" s="217"/>
      <c r="AS34" s="271"/>
      <c r="AT34" s="220"/>
      <c r="AU34" s="220">
        <v>29.04</v>
      </c>
      <c r="AV34" s="220"/>
      <c r="AW34" s="297"/>
    </row>
    <row r="35" spans="1:49" x14ac:dyDescent="0.2">
      <c r="B35" s="242" t="s">
        <v>251</v>
      </c>
      <c r="C35" s="203"/>
      <c r="D35" s="216">
        <v>9173295.1799999997</v>
      </c>
      <c r="E35" s="217">
        <v>9113053.7899999991</v>
      </c>
      <c r="F35" s="217"/>
      <c r="G35" s="217"/>
      <c r="H35" s="217"/>
      <c r="I35" s="216">
        <v>8366541</v>
      </c>
      <c r="J35" s="216">
        <v>776794.92</v>
      </c>
      <c r="K35" s="217">
        <v>591444.66</v>
      </c>
      <c r="L35" s="217"/>
      <c r="M35" s="217"/>
      <c r="N35" s="217"/>
      <c r="O35" s="216"/>
      <c r="P35" s="216">
        <v>379758.37</v>
      </c>
      <c r="Q35" s="217">
        <v>317333.31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v>527.86</v>
      </c>
      <c r="AP35" s="217"/>
      <c r="AQ35" s="217"/>
      <c r="AR35" s="217"/>
      <c r="AS35" s="216">
        <v>0</v>
      </c>
      <c r="AT35" s="220">
        <v>1134611.95</v>
      </c>
      <c r="AU35" s="220">
        <v>13158093.4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3434125</v>
      </c>
      <c r="E37" s="225">
        <v>3376412.8</v>
      </c>
      <c r="F37" s="225"/>
      <c r="G37" s="225"/>
      <c r="H37" s="225"/>
      <c r="I37" s="224">
        <v>872065</v>
      </c>
      <c r="J37" s="224">
        <v>2353017</v>
      </c>
      <c r="K37" s="225">
        <v>2044254.01</v>
      </c>
      <c r="L37" s="225"/>
      <c r="M37" s="225"/>
      <c r="N37" s="225"/>
      <c r="O37" s="224"/>
      <c r="P37" s="224">
        <v>2474913</v>
      </c>
      <c r="Q37" s="225">
        <v>2227085.4700000002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v>2534.0300000000002</v>
      </c>
      <c r="AP37" s="225"/>
      <c r="AQ37" s="225"/>
      <c r="AR37" s="225"/>
      <c r="AS37" s="224">
        <v>0</v>
      </c>
      <c r="AT37" s="226">
        <v>66098</v>
      </c>
      <c r="AU37" s="226">
        <v>122287036</v>
      </c>
      <c r="AV37" s="226">
        <v>5074454</v>
      </c>
      <c r="AW37" s="296"/>
    </row>
    <row r="38" spans="1:49" x14ac:dyDescent="0.2">
      <c r="B38" s="239" t="s">
        <v>254</v>
      </c>
      <c r="C38" s="203" t="s">
        <v>16</v>
      </c>
      <c r="D38" s="216">
        <v>1680945</v>
      </c>
      <c r="E38" s="217">
        <v>1670963.1</v>
      </c>
      <c r="F38" s="217"/>
      <c r="G38" s="217"/>
      <c r="H38" s="217"/>
      <c r="I38" s="216">
        <v>190926</v>
      </c>
      <c r="J38" s="216">
        <v>414069</v>
      </c>
      <c r="K38" s="217">
        <v>356105.25</v>
      </c>
      <c r="L38" s="217"/>
      <c r="M38" s="217"/>
      <c r="N38" s="217"/>
      <c r="O38" s="216"/>
      <c r="P38" s="216">
        <v>1809867</v>
      </c>
      <c r="Q38" s="217">
        <v>1571448.82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v>938.97</v>
      </c>
      <c r="AP38" s="217"/>
      <c r="AQ38" s="217"/>
      <c r="AR38" s="217"/>
      <c r="AS38" s="216">
        <v>0</v>
      </c>
      <c r="AT38" s="220">
        <v>54538</v>
      </c>
      <c r="AU38" s="220">
        <v>48582843</v>
      </c>
      <c r="AV38" s="220">
        <v>3821070</v>
      </c>
      <c r="AW38" s="297"/>
    </row>
    <row r="39" spans="1:49" x14ac:dyDescent="0.2">
      <c r="B39" s="242" t="s">
        <v>255</v>
      </c>
      <c r="C39" s="203" t="s">
        <v>17</v>
      </c>
      <c r="D39" s="216">
        <v>1332146</v>
      </c>
      <c r="E39" s="217">
        <v>1317878.6100000001</v>
      </c>
      <c r="F39" s="217"/>
      <c r="G39" s="217"/>
      <c r="H39" s="217"/>
      <c r="I39" s="216">
        <v>455722</v>
      </c>
      <c r="J39" s="216">
        <v>1130387</v>
      </c>
      <c r="K39" s="217">
        <v>1049557.54</v>
      </c>
      <c r="L39" s="217"/>
      <c r="M39" s="217"/>
      <c r="N39" s="217"/>
      <c r="O39" s="216"/>
      <c r="P39" s="216">
        <v>754438</v>
      </c>
      <c r="Q39" s="217">
        <v>722716.07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v>944.36</v>
      </c>
      <c r="AP39" s="217"/>
      <c r="AQ39" s="217"/>
      <c r="AR39" s="217"/>
      <c r="AS39" s="216">
        <v>0</v>
      </c>
      <c r="AT39" s="220">
        <v>90924</v>
      </c>
      <c r="AU39" s="220">
        <v>41693789</v>
      </c>
      <c r="AV39" s="220">
        <v>1337354</v>
      </c>
      <c r="AW39" s="297"/>
    </row>
    <row r="40" spans="1:49" x14ac:dyDescent="0.2">
      <c r="B40" s="242" t="s">
        <v>256</v>
      </c>
      <c r="C40" s="203" t="s">
        <v>38</v>
      </c>
      <c r="D40" s="216">
        <v>3960657</v>
      </c>
      <c r="E40" s="217">
        <v>3952323.45</v>
      </c>
      <c r="F40" s="217"/>
      <c r="G40" s="217"/>
      <c r="H40" s="217"/>
      <c r="I40" s="216">
        <v>1137577</v>
      </c>
      <c r="J40" s="216">
        <v>8555064</v>
      </c>
      <c r="K40" s="217">
        <v>8064014.7699999996</v>
      </c>
      <c r="L40" s="217"/>
      <c r="M40" s="217"/>
      <c r="N40" s="217"/>
      <c r="O40" s="216"/>
      <c r="P40" s="216">
        <v>5051605</v>
      </c>
      <c r="Q40" s="217">
        <v>4966761.01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v>1473.7</v>
      </c>
      <c r="AP40" s="217"/>
      <c r="AQ40" s="217"/>
      <c r="AR40" s="217"/>
      <c r="AS40" s="216">
        <v>0</v>
      </c>
      <c r="AT40" s="220">
        <v>1483051</v>
      </c>
      <c r="AU40" s="220">
        <v>117336440</v>
      </c>
      <c r="AV40" s="220">
        <v>5916646</v>
      </c>
      <c r="AW40" s="297"/>
    </row>
    <row r="41" spans="1:49" s="5" customFormat="1" ht="25.5" x14ac:dyDescent="0.2">
      <c r="A41" s="35"/>
      <c r="B41" s="242" t="s">
        <v>257</v>
      </c>
      <c r="C41" s="203" t="s">
        <v>129</v>
      </c>
      <c r="D41" s="216">
        <v>1512424</v>
      </c>
      <c r="E41" s="217">
        <v>1433391.39</v>
      </c>
      <c r="F41" s="217"/>
      <c r="G41" s="217"/>
      <c r="H41" s="217"/>
      <c r="I41" s="216">
        <v>389983</v>
      </c>
      <c r="J41" s="216">
        <v>1543168</v>
      </c>
      <c r="K41" s="217">
        <v>1173615.7</v>
      </c>
      <c r="L41" s="217"/>
      <c r="M41" s="217"/>
      <c r="N41" s="217"/>
      <c r="O41" s="216"/>
      <c r="P41" s="216">
        <v>697146</v>
      </c>
      <c r="Q41" s="217">
        <v>583951.14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v>1469.84</v>
      </c>
      <c r="AP41" s="217"/>
      <c r="AQ41" s="217"/>
      <c r="AR41" s="217"/>
      <c r="AS41" s="216">
        <v>0</v>
      </c>
      <c r="AT41" s="220">
        <v>1060589</v>
      </c>
      <c r="AU41" s="220">
        <v>54599724</v>
      </c>
      <c r="AV41" s="220">
        <v>2316764</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10050602</v>
      </c>
      <c r="E44" s="225">
        <v>9584816.1899999995</v>
      </c>
      <c r="F44" s="225"/>
      <c r="G44" s="225"/>
      <c r="H44" s="225"/>
      <c r="I44" s="224">
        <v>3889832</v>
      </c>
      <c r="J44" s="224">
        <v>10684640</v>
      </c>
      <c r="K44" s="225">
        <v>8995806.3499999996</v>
      </c>
      <c r="L44" s="225"/>
      <c r="M44" s="225"/>
      <c r="N44" s="225"/>
      <c r="O44" s="224"/>
      <c r="P44" s="224">
        <v>5480033</v>
      </c>
      <c r="Q44" s="225">
        <v>5006949.7699999996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v>7040.69</v>
      </c>
      <c r="AP44" s="225"/>
      <c r="AQ44" s="225"/>
      <c r="AR44" s="225"/>
      <c r="AS44" s="224">
        <v>0</v>
      </c>
      <c r="AT44" s="226">
        <v>3558040</v>
      </c>
      <c r="AU44" s="226">
        <v>229820845</v>
      </c>
      <c r="AV44" s="226">
        <v>17364731</v>
      </c>
      <c r="AW44" s="296"/>
    </row>
    <row r="45" spans="1:49" x14ac:dyDescent="0.2">
      <c r="B45" s="245" t="s">
        <v>261</v>
      </c>
      <c r="C45" s="203" t="s">
        <v>19</v>
      </c>
      <c r="D45" s="216">
        <v>8918452</v>
      </c>
      <c r="E45" s="217">
        <v>8376777.4900000002</v>
      </c>
      <c r="F45" s="217"/>
      <c r="G45" s="217"/>
      <c r="H45" s="217"/>
      <c r="I45" s="216">
        <v>3398467</v>
      </c>
      <c r="J45" s="216">
        <v>6197345</v>
      </c>
      <c r="K45" s="217">
        <v>5042004.37</v>
      </c>
      <c r="L45" s="217"/>
      <c r="M45" s="217"/>
      <c r="N45" s="217"/>
      <c r="O45" s="216"/>
      <c r="P45" s="216">
        <v>2846855</v>
      </c>
      <c r="Q45" s="217">
        <v>2527092.02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v>6817.45</v>
      </c>
      <c r="AP45" s="217"/>
      <c r="AQ45" s="217"/>
      <c r="AR45" s="217"/>
      <c r="AS45" s="216">
        <v>0</v>
      </c>
      <c r="AT45" s="220">
        <v>5538415</v>
      </c>
      <c r="AU45" s="220">
        <v>187414268</v>
      </c>
      <c r="AV45" s="220">
        <v>12038911</v>
      </c>
      <c r="AW45" s="297"/>
    </row>
    <row r="46" spans="1:49" x14ac:dyDescent="0.2">
      <c r="B46" s="245" t="s">
        <v>262</v>
      </c>
      <c r="C46" s="203" t="s">
        <v>20</v>
      </c>
      <c r="D46" s="216">
        <v>2917166</v>
      </c>
      <c r="E46" s="217">
        <v>2651029.52</v>
      </c>
      <c r="F46" s="217"/>
      <c r="G46" s="217"/>
      <c r="H46" s="217"/>
      <c r="I46" s="216">
        <v>1636178</v>
      </c>
      <c r="J46" s="216">
        <v>4440901</v>
      </c>
      <c r="K46" s="217">
        <v>3395427.88</v>
      </c>
      <c r="L46" s="217"/>
      <c r="M46" s="217"/>
      <c r="N46" s="217"/>
      <c r="O46" s="216"/>
      <c r="P46" s="216">
        <v>2096821</v>
      </c>
      <c r="Q46" s="217">
        <v>1704182.1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v>1897.68</v>
      </c>
      <c r="AP46" s="217"/>
      <c r="AQ46" s="217"/>
      <c r="AR46" s="217"/>
      <c r="AS46" s="216">
        <v>0</v>
      </c>
      <c r="AT46" s="220">
        <v>3705595</v>
      </c>
      <c r="AU46" s="220">
        <v>187692596</v>
      </c>
      <c r="AV46" s="220">
        <v>4982670</v>
      </c>
      <c r="AW46" s="297"/>
    </row>
    <row r="47" spans="1:49" x14ac:dyDescent="0.2">
      <c r="B47" s="245" t="s">
        <v>263</v>
      </c>
      <c r="C47" s="203" t="s">
        <v>21</v>
      </c>
      <c r="D47" s="216">
        <v>30868625</v>
      </c>
      <c r="E47" s="217">
        <v>30785408.710000001</v>
      </c>
      <c r="F47" s="217"/>
      <c r="G47" s="217"/>
      <c r="H47" s="217"/>
      <c r="I47" s="216">
        <v>12166517</v>
      </c>
      <c r="J47" s="216">
        <v>42682884</v>
      </c>
      <c r="K47" s="217">
        <v>41567120.82</v>
      </c>
      <c r="L47" s="217"/>
      <c r="M47" s="217"/>
      <c r="N47" s="217"/>
      <c r="O47" s="216"/>
      <c r="P47" s="216">
        <v>19116697</v>
      </c>
      <c r="Q47" s="217">
        <v>19993715.789999999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v>30895.07</v>
      </c>
      <c r="AP47" s="217"/>
      <c r="AQ47" s="217"/>
      <c r="AR47" s="217"/>
      <c r="AS47" s="216">
        <v>0</v>
      </c>
      <c r="AT47" s="220">
        <v>126579512</v>
      </c>
      <c r="AU47" s="220">
        <v>166834668</v>
      </c>
      <c r="AV47" s="220">
        <v>3521728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-783652.41</v>
      </c>
      <c r="E49" s="217">
        <v>-557735.99</v>
      </c>
      <c r="F49" s="217"/>
      <c r="G49" s="217"/>
      <c r="H49" s="217"/>
      <c r="I49" s="216">
        <v>-163582</v>
      </c>
      <c r="J49" s="216">
        <v>1286051.3400000001</v>
      </c>
      <c r="K49" s="217">
        <v>971872.33</v>
      </c>
      <c r="L49" s="217"/>
      <c r="M49" s="217"/>
      <c r="N49" s="217"/>
      <c r="O49" s="216"/>
      <c r="P49" s="216">
        <v>-548624.09</v>
      </c>
      <c r="Q49" s="217">
        <v>-330889.7</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-879.66</v>
      </c>
      <c r="AP49" s="217"/>
      <c r="AQ49" s="217"/>
      <c r="AR49" s="217"/>
      <c r="AS49" s="216">
        <v>0</v>
      </c>
      <c r="AT49" s="220">
        <v>451413.19</v>
      </c>
      <c r="AU49" s="220">
        <v>9682301.8100000005</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2369158.09</v>
      </c>
      <c r="AV50" s="220"/>
      <c r="AW50" s="297"/>
    </row>
    <row r="51" spans="2:49" x14ac:dyDescent="0.2">
      <c r="B51" s="239" t="s">
        <v>266</v>
      </c>
      <c r="C51" s="203"/>
      <c r="D51" s="216">
        <v>71333093</v>
      </c>
      <c r="E51" s="217">
        <v>67150166.959999993</v>
      </c>
      <c r="F51" s="217"/>
      <c r="G51" s="217"/>
      <c r="H51" s="217"/>
      <c r="I51" s="216">
        <v>22200668</v>
      </c>
      <c r="J51" s="216">
        <v>59082163</v>
      </c>
      <c r="K51" s="217">
        <v>44604526.619999997</v>
      </c>
      <c r="L51" s="217"/>
      <c r="M51" s="217"/>
      <c r="N51" s="217"/>
      <c r="O51" s="216"/>
      <c r="P51" s="216">
        <v>23353660</v>
      </c>
      <c r="Q51" s="217">
        <v>19224435.010000002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v>67612.95</v>
      </c>
      <c r="AP51" s="217"/>
      <c r="AQ51" s="217"/>
      <c r="AR51" s="217"/>
      <c r="AS51" s="216">
        <v>0</v>
      </c>
      <c r="AT51" s="220">
        <v>-19201314</v>
      </c>
      <c r="AU51" s="220">
        <v>984706114</v>
      </c>
      <c r="AV51" s="220">
        <v>72825533</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275475</v>
      </c>
      <c r="E56" s="229">
        <v>115379</v>
      </c>
      <c r="F56" s="229"/>
      <c r="G56" s="229"/>
      <c r="H56" s="229"/>
      <c r="I56" s="228">
        <v>48896</v>
      </c>
      <c r="J56" s="228">
        <v>278163</v>
      </c>
      <c r="K56" s="229">
        <v>101367</v>
      </c>
      <c r="L56" s="229"/>
      <c r="M56" s="229"/>
      <c r="N56" s="229"/>
      <c r="O56" s="228"/>
      <c r="P56" s="228">
        <v>117121</v>
      </c>
      <c r="Q56" s="229">
        <v>44482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v>0</v>
      </c>
      <c r="AP56" s="229"/>
      <c r="AQ56" s="229"/>
      <c r="AR56" s="229"/>
      <c r="AS56" s="228">
        <v>0</v>
      </c>
      <c r="AT56" s="230">
        <v>1077219</v>
      </c>
      <c r="AU56" s="230">
        <v>6079213</v>
      </c>
      <c r="AV56" s="230">
        <v>170958</v>
      </c>
      <c r="AW56" s="288"/>
    </row>
    <row r="57" spans="2:49" x14ac:dyDescent="0.2">
      <c r="B57" s="245" t="s">
        <v>272</v>
      </c>
      <c r="C57" s="203" t="s">
        <v>25</v>
      </c>
      <c r="D57" s="231">
        <v>440098</v>
      </c>
      <c r="E57" s="232">
        <v>203073</v>
      </c>
      <c r="F57" s="232"/>
      <c r="G57" s="232"/>
      <c r="H57" s="232"/>
      <c r="I57" s="231">
        <v>70979</v>
      </c>
      <c r="J57" s="231">
        <v>477886</v>
      </c>
      <c r="K57" s="232">
        <v>172552</v>
      </c>
      <c r="L57" s="232"/>
      <c r="M57" s="232"/>
      <c r="N57" s="232"/>
      <c r="O57" s="231"/>
      <c r="P57" s="231">
        <v>205308</v>
      </c>
      <c r="Q57" s="232">
        <v>85033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v>0</v>
      </c>
      <c r="AP57" s="232"/>
      <c r="AQ57" s="232"/>
      <c r="AR57" s="232"/>
      <c r="AS57" s="231">
        <v>0</v>
      </c>
      <c r="AT57" s="233">
        <v>1764268</v>
      </c>
      <c r="AU57" s="233">
        <v>6079213</v>
      </c>
      <c r="AV57" s="233">
        <v>362884</v>
      </c>
      <c r="AW57" s="289"/>
    </row>
    <row r="58" spans="2:49" x14ac:dyDescent="0.2">
      <c r="B58" s="245" t="s">
        <v>273</v>
      </c>
      <c r="C58" s="203" t="s">
        <v>26</v>
      </c>
      <c r="D58" s="309"/>
      <c r="E58" s="310"/>
      <c r="F58" s="310"/>
      <c r="G58" s="310"/>
      <c r="H58" s="310"/>
      <c r="I58" s="309"/>
      <c r="J58" s="231">
        <v>11647</v>
      </c>
      <c r="K58" s="232">
        <v>11647</v>
      </c>
      <c r="L58" s="232"/>
      <c r="M58" s="232"/>
      <c r="N58" s="232"/>
      <c r="O58" s="231"/>
      <c r="P58" s="231">
        <v>855</v>
      </c>
      <c r="Q58" s="232">
        <v>855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21271</v>
      </c>
      <c r="AU58" s="233">
        <v>822</v>
      </c>
      <c r="AV58" s="233">
        <v>197</v>
      </c>
      <c r="AW58" s="289"/>
    </row>
    <row r="59" spans="2:49" x14ac:dyDescent="0.2">
      <c r="B59" s="245" t="s">
        <v>274</v>
      </c>
      <c r="C59" s="203" t="s">
        <v>27</v>
      </c>
      <c r="D59" s="231">
        <v>5995545</v>
      </c>
      <c r="E59" s="232">
        <v>2699016</v>
      </c>
      <c r="F59" s="232"/>
      <c r="G59" s="232"/>
      <c r="H59" s="232"/>
      <c r="I59" s="231">
        <v>942408</v>
      </c>
      <c r="J59" s="231">
        <v>5731167</v>
      </c>
      <c r="K59" s="232">
        <v>2140922</v>
      </c>
      <c r="L59" s="232"/>
      <c r="M59" s="232"/>
      <c r="N59" s="232"/>
      <c r="O59" s="231"/>
      <c r="P59" s="231">
        <v>2528826</v>
      </c>
      <c r="Q59" s="232">
        <v>1060214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v>2462</v>
      </c>
      <c r="AP59" s="232"/>
      <c r="AQ59" s="232"/>
      <c r="AR59" s="232"/>
      <c r="AS59" s="231">
        <v>0</v>
      </c>
      <c r="AT59" s="233">
        <v>20360286</v>
      </c>
      <c r="AU59" s="233">
        <v>71758934</v>
      </c>
      <c r="AV59" s="233">
        <v>4400235</v>
      </c>
      <c r="AW59" s="289"/>
    </row>
    <row r="60" spans="2:49" x14ac:dyDescent="0.2">
      <c r="B60" s="245" t="s">
        <v>275</v>
      </c>
      <c r="C60" s="203"/>
      <c r="D60" s="234">
        <f t="shared" ref="D60:AC60" si="0">D$59/12</f>
        <v>499628.75</v>
      </c>
      <c r="E60" s="235">
        <f t="shared" si="0"/>
        <v>224918</v>
      </c>
      <c r="F60" s="235">
        <f t="shared" si="0"/>
        <v>0</v>
      </c>
      <c r="G60" s="235">
        <f t="shared" si="0"/>
        <v>0</v>
      </c>
      <c r="H60" s="235">
        <f t="shared" si="0"/>
        <v>0</v>
      </c>
      <c r="I60" s="234">
        <f t="shared" si="0"/>
        <v>78534</v>
      </c>
      <c r="J60" s="234">
        <f t="shared" si="0"/>
        <v>477597.25</v>
      </c>
      <c r="K60" s="235">
        <f t="shared" si="0"/>
        <v>178410.16666666666</v>
      </c>
      <c r="L60" s="235">
        <f t="shared" si="0"/>
        <v>0</v>
      </c>
      <c r="M60" s="235">
        <f t="shared" si="0"/>
        <v>0</v>
      </c>
      <c r="N60" s="235">
        <f t="shared" si="0"/>
        <v>0</v>
      </c>
      <c r="O60" s="234">
        <f t="shared" si="0"/>
        <v>0</v>
      </c>
      <c r="P60" s="234">
        <f t="shared" si="0"/>
        <v>210735.5</v>
      </c>
      <c r="Q60" s="235">
        <f t="shared" si="0"/>
        <v>88351.166666666672</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205.16666666666666</v>
      </c>
      <c r="AP60" s="235">
        <f t="shared" si="1"/>
        <v>0</v>
      </c>
      <c r="AQ60" s="235">
        <f t="shared" si="1"/>
        <v>0</v>
      </c>
      <c r="AR60" s="235">
        <f t="shared" si="1"/>
        <v>0</v>
      </c>
      <c r="AS60" s="234">
        <f t="shared" si="1"/>
        <v>0</v>
      </c>
      <c r="AT60" s="236">
        <f t="shared" si="1"/>
        <v>1696690.5</v>
      </c>
      <c r="AU60" s="236">
        <f t="shared" si="1"/>
        <v>5979911.166666667</v>
      </c>
      <c r="AV60" s="236">
        <f t="shared" si="1"/>
        <v>366686.25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252" yWindow="62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L25" activePane="bottomRight" state="frozen"/>
      <selection activeCell="B1" sqref="B1"/>
      <selection pane="topRight" activeCell="B1" sqref="B1"/>
      <selection pane="bottomLeft" activeCell="B1" sqref="B1"/>
      <selection pane="bottomRight" activeCell="AO49" sqref="AO4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817825504</v>
      </c>
      <c r="E5" s="326">
        <v>736110117.75999999</v>
      </c>
      <c r="F5" s="326"/>
      <c r="G5" s="328"/>
      <c r="H5" s="328"/>
      <c r="I5" s="325">
        <v>341410493</v>
      </c>
      <c r="J5" s="325">
        <v>1101568895</v>
      </c>
      <c r="K5" s="326">
        <v>849930552.30999994</v>
      </c>
      <c r="L5" s="326"/>
      <c r="M5" s="326"/>
      <c r="N5" s="326"/>
      <c r="O5" s="325"/>
      <c r="P5" s="325">
        <v>496772274</v>
      </c>
      <c r="Q5" s="326">
        <v>417418866.50999999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v>493277.12</v>
      </c>
      <c r="AP5" s="326"/>
      <c r="AQ5" s="326"/>
      <c r="AR5" s="326"/>
      <c r="AS5" s="325">
        <v>0</v>
      </c>
      <c r="AT5" s="327">
        <v>608512529</v>
      </c>
      <c r="AU5" s="327">
        <v>20114468303</v>
      </c>
      <c r="AV5" s="369"/>
      <c r="AW5" s="373"/>
    </row>
    <row r="6" spans="2:49" x14ac:dyDescent="0.2">
      <c r="B6" s="343" t="s">
        <v>278</v>
      </c>
      <c r="C6" s="331" t="s">
        <v>8</v>
      </c>
      <c r="D6" s="318">
        <v>1969649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2025886</v>
      </c>
      <c r="AU6" s="321">
        <v>0</v>
      </c>
      <c r="AV6" s="368"/>
      <c r="AW6" s="374"/>
    </row>
    <row r="7" spans="2:49" x14ac:dyDescent="0.2">
      <c r="B7" s="343" t="s">
        <v>279</v>
      </c>
      <c r="C7" s="331" t="s">
        <v>9</v>
      </c>
      <c r="D7" s="318">
        <v>1800298</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2293482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15294770</v>
      </c>
      <c r="E9" s="362"/>
      <c r="F9" s="362"/>
      <c r="G9" s="362"/>
      <c r="H9" s="362"/>
      <c r="I9" s="364"/>
      <c r="J9" s="318">
        <v>5298454</v>
      </c>
      <c r="K9" s="362"/>
      <c r="L9" s="362"/>
      <c r="M9" s="362"/>
      <c r="N9" s="362"/>
      <c r="O9" s="364"/>
      <c r="P9" s="318">
        <v>2973601</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-8444</v>
      </c>
      <c r="AU9" s="321">
        <v>-293251996</v>
      </c>
      <c r="AV9" s="368"/>
      <c r="AW9" s="374"/>
    </row>
    <row r="10" spans="2:49" ht="25.5" x14ac:dyDescent="0.2">
      <c r="B10" s="345" t="s">
        <v>83</v>
      </c>
      <c r="C10" s="331"/>
      <c r="D10" s="365"/>
      <c r="E10" s="319">
        <v>0</v>
      </c>
      <c r="F10" s="319"/>
      <c r="G10" s="319"/>
      <c r="H10" s="319"/>
      <c r="I10" s="318">
        <v>0</v>
      </c>
      <c r="J10" s="365"/>
      <c r="K10" s="319">
        <v>-43986</v>
      </c>
      <c r="L10" s="319"/>
      <c r="M10" s="319"/>
      <c r="N10" s="319"/>
      <c r="O10" s="318"/>
      <c r="P10" s="365"/>
      <c r="Q10" s="319">
        <v>6163</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-70831092</v>
      </c>
      <c r="E11" s="319"/>
      <c r="F11" s="319"/>
      <c r="G11" s="319"/>
      <c r="H11" s="319"/>
      <c r="I11" s="318">
        <v>0</v>
      </c>
      <c r="J11" s="318">
        <v>985199</v>
      </c>
      <c r="K11" s="319"/>
      <c r="L11" s="319"/>
      <c r="M11" s="319"/>
      <c r="N11" s="319"/>
      <c r="O11" s="318"/>
      <c r="P11" s="318">
        <v>496337</v>
      </c>
      <c r="Q11" s="319">
        <v>-49996.23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28350984</v>
      </c>
      <c r="AV11" s="368"/>
      <c r="AW11" s="374"/>
    </row>
    <row r="12" spans="2:49" ht="15" customHeight="1" x14ac:dyDescent="0.2">
      <c r="B12" s="343" t="s">
        <v>282</v>
      </c>
      <c r="C12" s="331" t="s">
        <v>44</v>
      </c>
      <c r="D12" s="318">
        <v>9067420</v>
      </c>
      <c r="E12" s="363"/>
      <c r="F12" s="363"/>
      <c r="G12" s="363"/>
      <c r="H12" s="363"/>
      <c r="I12" s="365"/>
      <c r="J12" s="318">
        <v>8912450</v>
      </c>
      <c r="K12" s="363"/>
      <c r="L12" s="363"/>
      <c r="M12" s="363"/>
      <c r="N12" s="363"/>
      <c r="O12" s="365"/>
      <c r="P12" s="318">
        <v>1596959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-278123194</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91702468.239999995</v>
      </c>
      <c r="F15" s="319"/>
      <c r="G15" s="319"/>
      <c r="H15" s="319"/>
      <c r="I15" s="318">
        <v>63012587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47124695.219999999</v>
      </c>
      <c r="F16" s="319"/>
      <c r="G16" s="319"/>
      <c r="H16" s="319"/>
      <c r="I16" s="318">
        <v>30536217</v>
      </c>
      <c r="J16" s="318"/>
      <c r="K16" s="319">
        <v>-6502838.21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200295</v>
      </c>
      <c r="K18" s="319">
        <v>200295</v>
      </c>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-24711</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-22375043</v>
      </c>
      <c r="AU19" s="321">
        <v>0</v>
      </c>
      <c r="AV19" s="368"/>
      <c r="AW19" s="374"/>
    </row>
    <row r="20" spans="2:49" s="5" customFormat="1" ht="25.5" x14ac:dyDescent="0.2">
      <c r="B20" s="345" t="s">
        <v>430</v>
      </c>
      <c r="C20" s="331"/>
      <c r="D20" s="318"/>
      <c r="E20" s="319">
        <v>165314663.56</v>
      </c>
      <c r="F20" s="319"/>
      <c r="G20" s="319"/>
      <c r="H20" s="319"/>
      <c r="I20" s="318">
        <v>165324539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921563795</v>
      </c>
      <c r="E23" s="362"/>
      <c r="F23" s="362"/>
      <c r="G23" s="362"/>
      <c r="H23" s="362"/>
      <c r="I23" s="364"/>
      <c r="J23" s="318">
        <v>913282328</v>
      </c>
      <c r="K23" s="362"/>
      <c r="L23" s="362"/>
      <c r="M23" s="362"/>
      <c r="N23" s="362"/>
      <c r="O23" s="364"/>
      <c r="P23" s="318">
        <v>359643369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411475163</v>
      </c>
      <c r="AU23" s="321">
        <v>17075980728</v>
      </c>
      <c r="AV23" s="368"/>
      <c r="AW23" s="374"/>
    </row>
    <row r="24" spans="2:49" ht="28.5" customHeight="1" x14ac:dyDescent="0.2">
      <c r="B24" s="345" t="s">
        <v>114</v>
      </c>
      <c r="C24" s="331"/>
      <c r="D24" s="365"/>
      <c r="E24" s="319">
        <v>846114558.03999996</v>
      </c>
      <c r="F24" s="319"/>
      <c r="G24" s="319"/>
      <c r="H24" s="319"/>
      <c r="I24" s="318">
        <v>439913895</v>
      </c>
      <c r="J24" s="365"/>
      <c r="K24" s="319">
        <v>655085082.07000005</v>
      </c>
      <c r="L24" s="319"/>
      <c r="M24" s="319"/>
      <c r="N24" s="319"/>
      <c r="O24" s="318"/>
      <c r="P24" s="365"/>
      <c r="Q24" s="319">
        <v>351250266.49000001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294934.05</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115145180</v>
      </c>
      <c r="E26" s="362"/>
      <c r="F26" s="362"/>
      <c r="G26" s="362"/>
      <c r="H26" s="362"/>
      <c r="I26" s="364"/>
      <c r="J26" s="318">
        <v>26236924</v>
      </c>
      <c r="K26" s="362"/>
      <c r="L26" s="362"/>
      <c r="M26" s="362"/>
      <c r="N26" s="362"/>
      <c r="O26" s="364"/>
      <c r="P26" s="318">
        <v>119675939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61546662</v>
      </c>
      <c r="AU26" s="321">
        <v>1438633110</v>
      </c>
      <c r="AV26" s="368"/>
      <c r="AW26" s="374"/>
    </row>
    <row r="27" spans="2:49" s="5" customFormat="1" ht="25.5" x14ac:dyDescent="0.2">
      <c r="B27" s="345" t="s">
        <v>85</v>
      </c>
      <c r="C27" s="331"/>
      <c r="D27" s="365"/>
      <c r="E27" s="319">
        <v>22964799.940000001</v>
      </c>
      <c r="F27" s="319"/>
      <c r="G27" s="319"/>
      <c r="H27" s="319"/>
      <c r="I27" s="318">
        <v>15137226</v>
      </c>
      <c r="J27" s="365"/>
      <c r="K27" s="319">
        <v>7348252.29</v>
      </c>
      <c r="L27" s="319"/>
      <c r="M27" s="319"/>
      <c r="N27" s="319"/>
      <c r="O27" s="318"/>
      <c r="P27" s="365"/>
      <c r="Q27" s="319">
        <v>3756143.75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2786.1637999999998</v>
      </c>
      <c r="AP27" s="319"/>
      <c r="AQ27" s="319"/>
      <c r="AR27" s="319"/>
      <c r="AS27" s="365"/>
      <c r="AT27" s="371"/>
      <c r="AU27" s="371"/>
      <c r="AV27" s="368"/>
      <c r="AW27" s="374"/>
    </row>
    <row r="28" spans="2:49" x14ac:dyDescent="0.2">
      <c r="B28" s="343" t="s">
        <v>289</v>
      </c>
      <c r="C28" s="331" t="s">
        <v>47</v>
      </c>
      <c r="D28" s="318">
        <v>127041456</v>
      </c>
      <c r="E28" s="363"/>
      <c r="F28" s="363"/>
      <c r="G28" s="363"/>
      <c r="H28" s="363"/>
      <c r="I28" s="365"/>
      <c r="J28" s="318">
        <v>88937366</v>
      </c>
      <c r="K28" s="363"/>
      <c r="L28" s="363"/>
      <c r="M28" s="363"/>
      <c r="N28" s="363"/>
      <c r="O28" s="365"/>
      <c r="P28" s="318">
        <v>50598330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60353440</v>
      </c>
      <c r="AU28" s="321">
        <v>1480257265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1977</v>
      </c>
      <c r="E30" s="362"/>
      <c r="F30" s="362"/>
      <c r="G30" s="362"/>
      <c r="H30" s="362"/>
      <c r="I30" s="364"/>
      <c r="J30" s="318">
        <v>539475</v>
      </c>
      <c r="K30" s="362"/>
      <c r="L30" s="362"/>
      <c r="M30" s="362"/>
      <c r="N30" s="362"/>
      <c r="O30" s="364"/>
      <c r="P30" s="318">
        <v>43548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5758534</v>
      </c>
      <c r="AU30" s="321">
        <v>0</v>
      </c>
      <c r="AV30" s="368"/>
      <c r="AW30" s="374"/>
    </row>
    <row r="31" spans="2:49" s="5" customFormat="1" ht="25.5" x14ac:dyDescent="0.2">
      <c r="B31" s="345" t="s">
        <v>84</v>
      </c>
      <c r="C31" s="331"/>
      <c r="D31" s="365"/>
      <c r="E31" s="319">
        <v>1672.63</v>
      </c>
      <c r="F31" s="319"/>
      <c r="G31" s="319"/>
      <c r="H31" s="319"/>
      <c r="I31" s="318">
        <v>0</v>
      </c>
      <c r="J31" s="365"/>
      <c r="K31" s="319">
        <v>138742.37</v>
      </c>
      <c r="L31" s="319"/>
      <c r="M31" s="319"/>
      <c r="N31" s="319"/>
      <c r="O31" s="318"/>
      <c r="P31" s="365"/>
      <c r="Q31" s="319">
        <v>22464.2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35</v>
      </c>
      <c r="E32" s="363"/>
      <c r="F32" s="363"/>
      <c r="G32" s="363"/>
      <c r="H32" s="363"/>
      <c r="I32" s="365"/>
      <c r="J32" s="318">
        <v>400872</v>
      </c>
      <c r="K32" s="363"/>
      <c r="L32" s="363"/>
      <c r="M32" s="363"/>
      <c r="N32" s="363"/>
      <c r="O32" s="365"/>
      <c r="P32" s="318">
        <v>21084</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6737608</v>
      </c>
      <c r="AU32" s="321">
        <v>10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64814513</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6196963</v>
      </c>
      <c r="AU34" s="321">
        <v>-1</v>
      </c>
      <c r="AV34" s="368"/>
      <c r="AW34" s="374"/>
    </row>
    <row r="35" spans="2:49" s="5" customFormat="1" x14ac:dyDescent="0.2">
      <c r="B35" s="345" t="s">
        <v>91</v>
      </c>
      <c r="C35" s="331"/>
      <c r="D35" s="365"/>
      <c r="E35" s="319">
        <v>64814514.130000003</v>
      </c>
      <c r="F35" s="319"/>
      <c r="G35" s="319"/>
      <c r="H35" s="319"/>
      <c r="I35" s="318">
        <v>0</v>
      </c>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121997954</v>
      </c>
      <c r="E36" s="319">
        <v>121997953.81</v>
      </c>
      <c r="F36" s="319"/>
      <c r="G36" s="319"/>
      <c r="H36" s="319"/>
      <c r="I36" s="318">
        <v>0</v>
      </c>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4549523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15294770</v>
      </c>
      <c r="E38" s="362"/>
      <c r="F38" s="362"/>
      <c r="G38" s="362"/>
      <c r="H38" s="362"/>
      <c r="I38" s="364"/>
      <c r="J38" s="318">
        <v>5298454</v>
      </c>
      <c r="K38" s="362"/>
      <c r="L38" s="362"/>
      <c r="M38" s="362"/>
      <c r="N38" s="362"/>
      <c r="O38" s="364"/>
      <c r="P38" s="318">
        <v>2973601</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-8444</v>
      </c>
      <c r="AU38" s="321">
        <v>-293251996</v>
      </c>
      <c r="AV38" s="368"/>
      <c r="AW38" s="374"/>
    </row>
    <row r="39" spans="2:49" ht="28.15" customHeight="1" x14ac:dyDescent="0.2">
      <c r="B39" s="345" t="s">
        <v>86</v>
      </c>
      <c r="C39" s="331"/>
      <c r="D39" s="365"/>
      <c r="E39" s="319">
        <v>0</v>
      </c>
      <c r="F39" s="319"/>
      <c r="G39" s="319"/>
      <c r="H39" s="319"/>
      <c r="I39" s="318">
        <v>0</v>
      </c>
      <c r="J39" s="365"/>
      <c r="K39" s="319">
        <v>-43986</v>
      </c>
      <c r="L39" s="319"/>
      <c r="M39" s="319"/>
      <c r="N39" s="319"/>
      <c r="O39" s="318"/>
      <c r="P39" s="365"/>
      <c r="Q39" s="319">
        <v>6163</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-70831092</v>
      </c>
      <c r="E41" s="362"/>
      <c r="F41" s="362"/>
      <c r="G41" s="362"/>
      <c r="H41" s="362"/>
      <c r="I41" s="364"/>
      <c r="J41" s="318">
        <v>985199</v>
      </c>
      <c r="K41" s="362"/>
      <c r="L41" s="362"/>
      <c r="M41" s="362"/>
      <c r="N41" s="362"/>
      <c r="O41" s="364"/>
      <c r="P41" s="318">
        <v>496337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28350984</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-49996.23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9067420</v>
      </c>
      <c r="E43" s="363"/>
      <c r="F43" s="363"/>
      <c r="G43" s="363"/>
      <c r="H43" s="363"/>
      <c r="I43" s="365"/>
      <c r="J43" s="318">
        <v>8912450</v>
      </c>
      <c r="K43" s="363"/>
      <c r="L43" s="363"/>
      <c r="M43" s="363"/>
      <c r="N43" s="363"/>
      <c r="O43" s="365"/>
      <c r="P43" s="318">
        <v>1596959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-278123194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3047429</v>
      </c>
      <c r="E45" s="319">
        <v>3052398</v>
      </c>
      <c r="F45" s="319"/>
      <c r="G45" s="319"/>
      <c r="H45" s="319"/>
      <c r="I45" s="318">
        <v>3052398</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9264567</v>
      </c>
      <c r="AV45" s="368"/>
      <c r="AW45" s="374"/>
    </row>
    <row r="46" spans="2:49" x14ac:dyDescent="0.2">
      <c r="B46" s="343" t="s">
        <v>116</v>
      </c>
      <c r="C46" s="331" t="s">
        <v>31</v>
      </c>
      <c r="D46" s="318">
        <v>3052398</v>
      </c>
      <c r="E46" s="319">
        <v>-0.06</v>
      </c>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2118715</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2618181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4316174</v>
      </c>
      <c r="E49" s="319">
        <v>14843313.939999999</v>
      </c>
      <c r="F49" s="319"/>
      <c r="G49" s="319"/>
      <c r="H49" s="319"/>
      <c r="I49" s="318">
        <v>8461362</v>
      </c>
      <c r="J49" s="318">
        <v>5900232</v>
      </c>
      <c r="K49" s="319">
        <v>18435190.859999999</v>
      </c>
      <c r="L49" s="319"/>
      <c r="M49" s="319"/>
      <c r="N49" s="319"/>
      <c r="O49" s="318"/>
      <c r="P49" s="318">
        <v>1836341</v>
      </c>
      <c r="Q49" s="319">
        <v>8823741.5600000005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v>-13016.13</v>
      </c>
      <c r="AP49" s="319"/>
      <c r="AQ49" s="319"/>
      <c r="AR49" s="319"/>
      <c r="AS49" s="318">
        <v>0</v>
      </c>
      <c r="AT49" s="321">
        <v>-36499</v>
      </c>
      <c r="AU49" s="321">
        <v>482180534</v>
      </c>
      <c r="AV49" s="368"/>
      <c r="AW49" s="374"/>
    </row>
    <row r="50" spans="2:49" x14ac:dyDescent="0.2">
      <c r="B50" s="343" t="s">
        <v>119</v>
      </c>
      <c r="C50" s="331" t="s">
        <v>34</v>
      </c>
      <c r="D50" s="318">
        <v>1838723</v>
      </c>
      <c r="E50" s="363"/>
      <c r="F50" s="363"/>
      <c r="G50" s="363"/>
      <c r="H50" s="363"/>
      <c r="I50" s="365"/>
      <c r="J50" s="318">
        <v>3992695</v>
      </c>
      <c r="K50" s="363"/>
      <c r="L50" s="363"/>
      <c r="M50" s="363"/>
      <c r="N50" s="363"/>
      <c r="O50" s="365"/>
      <c r="P50" s="318">
        <v>1596625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24177</v>
      </c>
      <c r="AU50" s="321">
        <v>359675520</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-840398.52</v>
      </c>
      <c r="L53" s="319"/>
      <c r="M53" s="319"/>
      <c r="N53" s="319"/>
      <c r="O53" s="318"/>
      <c r="P53" s="318">
        <v>0</v>
      </c>
      <c r="Q53" s="319">
        <v>1116726.1000000001</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791504654</v>
      </c>
      <c r="E54" s="323">
        <f>E24+E27+E31+E35-E36+E39+E42+E45+E46-E49+E51+E52+E53</f>
        <v>800106674.93000007</v>
      </c>
      <c r="F54" s="323">
        <f>F24+F27+F31+F35-F36+F39+F42+F45+F46-F49+F51+F52+F53</f>
        <v>0</v>
      </c>
      <c r="G54" s="323">
        <f>G24+G27+G31+G35-G36+G39+G42+G45+G46-G49+G51+G52+G53</f>
        <v>0</v>
      </c>
      <c r="H54" s="323">
        <f>H24+H27+H31+H35-H36+H39+H42+H45+H46-H49+H51+H52+H53</f>
        <v>0</v>
      </c>
      <c r="I54" s="322">
        <f>I24+I27+I31+I35-I36+I39+I42+I45+I46-I49+I51+I52+I53</f>
        <v>449642157</v>
      </c>
      <c r="J54" s="322">
        <f>J23+J26-J28+J30-J32+J34-J36+J38+J41-J43+J45+J46-J47-J49+J50+J51+J52+J53</f>
        <v>846184155</v>
      </c>
      <c r="K54" s="323">
        <f>K24+K27+K31+K35-K36+K39+K42+K45+K46-K49+K51+K52+K53</f>
        <v>643252501.35000002</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430376705</v>
      </c>
      <c r="Q54" s="323">
        <f>Q24+Q27+Q31+Q35-Q36+Q39+Q42+Q45+Q46-Q49+Q51+Q52+Q53</f>
        <v>347278025.75</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310736.34379999997</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413388983</v>
      </c>
      <c r="AU54" s="324">
        <f>AU23+AU26-AU28+AU30-AU32+AU34-AU36+AU38+AU41-AU43+AU45+AU46-AU47-AU49+AU50+AU51+AU52+AU53</f>
        <v>16933838831</v>
      </c>
      <c r="AV54" s="368"/>
      <c r="AW54" s="374"/>
    </row>
    <row r="55" spans="2:49" ht="25.5" x14ac:dyDescent="0.2">
      <c r="B55" s="348" t="s">
        <v>493</v>
      </c>
      <c r="C55" s="335" t="s">
        <v>28</v>
      </c>
      <c r="D55" s="322">
        <f t="shared" ref="D55:AC55" si="0">MIN(MAX(0,D56),MAX(0,D57))</f>
        <v>1361913.6</v>
      </c>
      <c r="E55" s="323">
        <f t="shared" si="0"/>
        <v>1264469.3</v>
      </c>
      <c r="F55" s="323">
        <f t="shared" si="0"/>
        <v>0</v>
      </c>
      <c r="G55" s="323">
        <f t="shared" si="0"/>
        <v>0</v>
      </c>
      <c r="H55" s="323">
        <f t="shared" si="0"/>
        <v>0</v>
      </c>
      <c r="I55" s="322">
        <f t="shared" si="0"/>
        <v>505921</v>
      </c>
      <c r="J55" s="322">
        <f t="shared" si="0"/>
        <v>1538593.49</v>
      </c>
      <c r="K55" s="323">
        <f t="shared" si="0"/>
        <v>1166862.02</v>
      </c>
      <c r="L55" s="323">
        <f t="shared" si="0"/>
        <v>0</v>
      </c>
      <c r="M55" s="323">
        <f t="shared" si="0"/>
        <v>0</v>
      </c>
      <c r="N55" s="323">
        <f t="shared" si="0"/>
        <v>0</v>
      </c>
      <c r="O55" s="322">
        <f t="shared" si="0"/>
        <v>0</v>
      </c>
      <c r="P55" s="322">
        <f t="shared" si="0"/>
        <v>719350.08</v>
      </c>
      <c r="Q55" s="323">
        <f t="shared" si="0"/>
        <v>599294.57999999996</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1361913.6</v>
      </c>
      <c r="E56" s="319">
        <v>1264469.3</v>
      </c>
      <c r="F56" s="319"/>
      <c r="G56" s="319"/>
      <c r="H56" s="319"/>
      <c r="I56" s="318">
        <v>505921</v>
      </c>
      <c r="J56" s="318">
        <v>1538593.49</v>
      </c>
      <c r="K56" s="319">
        <v>1166862.02</v>
      </c>
      <c r="L56" s="319"/>
      <c r="M56" s="319"/>
      <c r="N56" s="319"/>
      <c r="O56" s="318"/>
      <c r="P56" s="318">
        <v>719350.08</v>
      </c>
      <c r="Q56" s="319">
        <v>599294.57999999996</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2439192</v>
      </c>
      <c r="E57" s="319">
        <v>2417175.5099999998</v>
      </c>
      <c r="F57" s="319"/>
      <c r="G57" s="319"/>
      <c r="H57" s="319"/>
      <c r="I57" s="318">
        <v>1015701</v>
      </c>
      <c r="J57" s="318">
        <v>2435531</v>
      </c>
      <c r="K57" s="319">
        <v>1975021.58</v>
      </c>
      <c r="L57" s="319"/>
      <c r="M57" s="319"/>
      <c r="N57" s="319"/>
      <c r="O57" s="318"/>
      <c r="P57" s="318">
        <v>2221843</v>
      </c>
      <c r="Q57" s="319">
        <v>1974032.95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1466084</v>
      </c>
      <c r="AU57" s="321">
        <v>244584634</v>
      </c>
      <c r="AV57" s="321">
        <v>0</v>
      </c>
      <c r="AW57" s="374"/>
    </row>
    <row r="58" spans="2:49" s="5" customFormat="1" x14ac:dyDescent="0.2">
      <c r="B58" s="351" t="s">
        <v>494</v>
      </c>
      <c r="C58" s="352"/>
      <c r="D58" s="353"/>
      <c r="E58" s="354">
        <v>34457137.039999999</v>
      </c>
      <c r="F58" s="354"/>
      <c r="G58" s="354"/>
      <c r="H58" s="354"/>
      <c r="I58" s="353">
        <v>31321296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031" yWindow="79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515414759.85000002</v>
      </c>
      <c r="D5" s="403">
        <v>883288692.38</v>
      </c>
      <c r="E5" s="454"/>
      <c r="F5" s="454"/>
      <c r="G5" s="448"/>
      <c r="H5" s="402">
        <v>719448089.95000005</v>
      </c>
      <c r="I5" s="403">
        <v>693932326.64999998</v>
      </c>
      <c r="J5" s="454"/>
      <c r="K5" s="454"/>
      <c r="L5" s="448"/>
      <c r="M5" s="402">
        <v>454264182.42000002</v>
      </c>
      <c r="N5" s="403">
        <v>378409298.94999999</v>
      </c>
      <c r="O5" s="454"/>
      <c r="P5" s="454"/>
      <c r="Q5" s="402"/>
      <c r="R5" s="403"/>
      <c r="S5" s="454"/>
      <c r="T5" s="454"/>
      <c r="U5" s="402"/>
      <c r="V5" s="403"/>
      <c r="W5" s="454"/>
      <c r="X5" s="454"/>
      <c r="Y5" s="402"/>
      <c r="Z5" s="403"/>
      <c r="AA5" s="454"/>
      <c r="AB5" s="454"/>
      <c r="AC5" s="455"/>
      <c r="AD5" s="454"/>
      <c r="AE5" s="454"/>
      <c r="AF5" s="454"/>
      <c r="AG5" s="455"/>
      <c r="AH5" s="454"/>
      <c r="AI5" s="454"/>
      <c r="AJ5" s="454"/>
      <c r="AK5" s="402">
        <v>1792563.87</v>
      </c>
      <c r="AL5" s="403">
        <v>1631252.87</v>
      </c>
      <c r="AM5" s="454"/>
      <c r="AN5" s="456"/>
    </row>
    <row r="6" spans="1:40" s="9" customFormat="1" ht="25.5" x14ac:dyDescent="0.2">
      <c r="A6" s="107"/>
      <c r="B6" s="415" t="s">
        <v>309</v>
      </c>
      <c r="C6" s="397">
        <v>516694437.75999999</v>
      </c>
      <c r="D6" s="398">
        <v>879222731.95000005</v>
      </c>
      <c r="E6" s="400">
        <f>SUM('Pt 1 Summary of Data'!E$12,'Pt 1 Summary of Data'!E$22)+SUM('Pt 1 Summary of Data'!G$12,'Pt 1 Summary of Data'!G$22)-SUM('Pt 1 Summary of Data'!H$12,'Pt 1 Summary of Data'!H$22)</f>
        <v>801371144.23000002</v>
      </c>
      <c r="F6" s="400">
        <f t="shared" ref="F6:F11" si="0">SUM(C6:E6)</f>
        <v>2197288313.9400001</v>
      </c>
      <c r="G6" s="401">
        <f>SUM('Pt 1 Summary of Data'!I$12,'Pt 1 Summary of Data'!I$22)</f>
        <v>450148078</v>
      </c>
      <c r="H6" s="397">
        <v>719763572.89999998</v>
      </c>
      <c r="I6" s="398">
        <v>689882700.42999995</v>
      </c>
      <c r="J6" s="400">
        <f>SUM('Pt 1 Summary of Data'!K$12,'Pt 1 Summary of Data'!K$22)+SUM('Pt 1 Summary of Data'!M$12,'Pt 1 Summary of Data'!M$22)-SUM('Pt 1 Summary of Data'!N$12,'Pt 1 Summary of Data'!N$22)</f>
        <v>644419363.37</v>
      </c>
      <c r="K6" s="400">
        <f>SUM(H6:J6)</f>
        <v>2054065636.6999998</v>
      </c>
      <c r="L6" s="401">
        <f>SUM('Pt 1 Summary of Data'!O$12,'Pt 1 Summary of Data'!O$22)</f>
        <v>0</v>
      </c>
      <c r="M6" s="397">
        <v>454193961.06999999</v>
      </c>
      <c r="N6" s="398">
        <v>377920640.17000002</v>
      </c>
      <c r="O6" s="400">
        <f>SUM('Pt 1 Summary of Data'!Q$12,'Pt 1 Summary of Data'!Q$22)+SUM('Pt 1 Summary of Data'!S$12,'Pt 1 Summary of Data'!S$22)-SUM('Pt 1 Summary of Data'!T$12,'Pt 1 Summary of Data'!T$22)</f>
        <v>347877320.32999998</v>
      </c>
      <c r="P6" s="400">
        <f>SUM(M6:O6)</f>
        <v>1179991921.5699999</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v>1792563.8660702759</v>
      </c>
      <c r="AL6" s="398">
        <v>1631252.8721</v>
      </c>
      <c r="AM6" s="400">
        <f>SUM('Pt 1 Summary of Data'!AO$12,'Pt 1 Summary of Data'!AO$22)+SUM('Pt 1 Summary of Data'!AQ$12,'Pt 1 Summary of Data'!AQ$22)-SUM('Pt 1 Summary of Data'!AR$12,'Pt 1 Summary of Data'!AR$22)</f>
        <v>310736.34379999997</v>
      </c>
      <c r="AN6" s="430">
        <f>SUM(AK6:AM6)</f>
        <v>3734553.0819702758</v>
      </c>
    </row>
    <row r="7" spans="1:40" x14ac:dyDescent="0.2">
      <c r="B7" s="415" t="s">
        <v>310</v>
      </c>
      <c r="C7" s="397">
        <v>13524476.5</v>
      </c>
      <c r="D7" s="398">
        <v>12227679.08</v>
      </c>
      <c r="E7" s="400">
        <f>SUM('Pt 1 Summary of Data'!E$37:E$41)+SUM('Pt 1 Summary of Data'!G$37:G$41)-SUM('Pt 1 Summary of Data'!H$37:H$41)+MAX(0,MIN('Pt 1 Summary of Data'!E$42+'Pt 1 Summary of Data'!G$42-'Pt 1 Summary of Data'!H$42,0.3%*('Pt 1 Summary of Data'!E$5+'Pt 1 Summary of Data'!G$5-'Pt 1 Summary of Data'!H$5-SUM(E$9:E$11))))</f>
        <v>11750969.350000001</v>
      </c>
      <c r="F7" s="400">
        <f t="shared" si="0"/>
        <v>37503124.93</v>
      </c>
      <c r="G7" s="401">
        <f>SUM('Pt 1 Summary of Data'!I$37:I$41)+MAX(0,MIN(VALUE('Pt 1 Summary of Data'!I$42),0.3%*('Pt 1 Summary of Data'!I$5-SUM(G$9:G$10))))</f>
        <v>3046273</v>
      </c>
      <c r="H7" s="397">
        <v>19206954.190000001</v>
      </c>
      <c r="I7" s="398">
        <v>17103704.600000001</v>
      </c>
      <c r="J7" s="400">
        <f>SUM('Pt 1 Summary of Data'!K$37:K$41)+SUM('Pt 1 Summary of Data'!M$37:M$41)-SUM('Pt 1 Summary of Data'!N$37:N$41)+MAX(0,MIN('Pt 1 Summary of Data'!K$42+'Pt 1 Summary of Data'!M$42-'Pt 1 Summary of Data'!N$42,0.3%*('Pt 1 Summary of Data'!K$5+'Pt 1 Summary of Data'!M$5-'Pt 1 Summary of Data'!N$5-SUM(J$10:J$11))))</f>
        <v>12687547.27</v>
      </c>
      <c r="K7" s="400">
        <f>SUM(H7:J7)</f>
        <v>48998206.060000002</v>
      </c>
      <c r="L7" s="401">
        <f>SUM('Pt 1 Summary of Data'!O$37:O$41)+MAX(0,MIN(VALUE('Pt 1 Summary of Data'!O$42),0.3%*('Pt 1 Summary of Data'!O$5-L$10)))</f>
        <v>0</v>
      </c>
      <c r="M7" s="397">
        <v>10749066.109999999</v>
      </c>
      <c r="N7" s="398">
        <v>8584006.1999999993</v>
      </c>
      <c r="O7" s="400">
        <f>SUM('Pt 1 Summary of Data'!Q$37:Q$41)+SUM('Pt 1 Summary of Data'!S$37:S$41)-SUM('Pt 1 Summary of Data'!T$37:T$41)+MAX(0,MIN('Pt 1 Summary of Data'!Q$42+'Pt 1 Summary of Data'!S$42-'Pt 1 Summary of Data'!T$42,0.3%*('Pt 1 Summary of Data'!Q$5+'Pt 1 Summary of Data'!S$5-'Pt 1 Summary of Data'!T$5)))</f>
        <v>10071962.510000002</v>
      </c>
      <c r="P7" s="400">
        <f>SUM(M7:O7)</f>
        <v>29405034.82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v>60508.31</v>
      </c>
      <c r="AL7" s="398">
        <v>0</v>
      </c>
      <c r="AM7" s="400">
        <f>SUM('Pt 1 Summary of Data'!AO$37:AO$41)+SUM('Pt 1 Summary of Data'!AQ$37:AQ$41)-SUM('Pt 1 Summary of Data'!AR$37:AR$41)+MAX(0,MIN('Pt 1 Summary of Data'!AO$42+'Pt 1 Summary of Data'!AQ$42-'Pt 1 Summary of Data'!AR$42,0.3%*('Pt 1 Summary of Data'!AO$5+'Pt 1 Summary of Data'!AQ$5-'Pt 1 Summary of Data'!AR$5)))</f>
        <v>7360.9</v>
      </c>
      <c r="AN7" s="430">
        <f>SUM(AK7:AM7)</f>
        <v>67869.209999999992</v>
      </c>
    </row>
    <row r="8" spans="1:40" x14ac:dyDescent="0.2">
      <c r="B8" s="415" t="s">
        <v>495</v>
      </c>
      <c r="C8" s="444"/>
      <c r="D8" s="398">
        <v>28174055.66</v>
      </c>
      <c r="E8" s="400">
        <f>'Pt 2 Premium and Claims'!E58+'Pt 2 Premium and Claims'!G58-'Pt 2 Premium and Claims'!H58</f>
        <v>34457137.039999999</v>
      </c>
      <c r="F8" s="400">
        <f t="shared" si="0"/>
        <v>62631192.700000003</v>
      </c>
      <c r="G8" s="401">
        <f>'Pt 2 Premium and Claims'!I58</f>
        <v>31321296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102852636.09999999</v>
      </c>
      <c r="E9" s="400">
        <f>'Pt 2 Premium and Claims'!E$15+'Pt 2 Premium and Claims'!G$15-'Pt 2 Premium and Claims'!H$15</f>
        <v>91702468.239999995</v>
      </c>
      <c r="F9" s="400">
        <f t="shared" si="0"/>
        <v>194555104.33999997</v>
      </c>
      <c r="G9" s="401">
        <f>'Pt 2 Premium and Claims'!I$15</f>
        <v>63012587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40856769.57</v>
      </c>
      <c r="E10" s="400">
        <f>'Pt 2 Premium and Claims'!E$16+'Pt 2 Premium and Claims'!G$16-'Pt 2 Premium and Claims'!H$16</f>
        <v>47124695.219999999</v>
      </c>
      <c r="F10" s="400">
        <f t="shared" si="0"/>
        <v>87981464.789999992</v>
      </c>
      <c r="G10" s="401">
        <f>'Pt 2 Premium and Claims'!I$16</f>
        <v>30536217</v>
      </c>
      <c r="H10" s="443"/>
      <c r="I10" s="398">
        <v>3527410.71</v>
      </c>
      <c r="J10" s="400">
        <f>'Pt 2 Premium and Claims'!K$16+'Pt 2 Premium and Claims'!M$16-'Pt 2 Premium and Claims'!N$16</f>
        <v>-6502838.21</v>
      </c>
      <c r="K10" s="400">
        <f>SUM(H10:J10)</f>
        <v>-2975427.5</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1299373.3700000001</v>
      </c>
      <c r="E11" s="400">
        <f>'Pt 2 Premium and Claims'!E$17+'Pt 2 Premium and Claims'!G$17-'Pt 2 Premium and Claims'!H$17</f>
        <v>0</v>
      </c>
      <c r="F11" s="400">
        <f t="shared" si="0"/>
        <v>1299373.3700000001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530218914.25999999</v>
      </c>
      <c r="D12" s="400">
        <f>SUM(D$6:D$7) - SUM(D$8:D$11)+IF(AND(OR('Company Information'!$C$12="District of Columbia",'Company Information'!$C$12="Massachusetts",'Company Information'!$C$12="Vermont"),SUM($C$6:$F$11,$C$15:$F$16,$C$38:$D$38)&lt;&gt;0),SUM(I$6:I$7) - SUM(I$10:I$11),0)</f>
        <v>718267576.33000016</v>
      </c>
      <c r="E12" s="400">
        <f>SUM(E$6:E$7)-SUM(E$8:E$11)+IF(AND(OR('Company Information'!$C$12="District of Columbia",'Company Information'!$C$12="Massachusetts",'Company Information'!$C$12="Vermont"),SUM($C$6:$F$11,$C$15:$F$16,$C$38:$D$38)&lt;&gt;0),SUM(J$6:J$7)-SUM(J$10:J$11),0)</f>
        <v>639837813.08000004</v>
      </c>
      <c r="F12" s="400">
        <f>IFERROR(SUM(C$12:E$12)+C$17*MAX(0,E$50-C$50)+D$17*MAX(0,E$50-D$50),0)</f>
        <v>1888324303.6700001</v>
      </c>
      <c r="G12" s="447"/>
      <c r="H12" s="399">
        <f>SUM(H$6:H$7)+IF(AND(OR('Company Information'!$C$12="District of Columbia",'Company Information'!$C$12="Massachusetts",'Company Information'!$C$12="Vermont"),SUM($H$6:$K$11,$H$15:$K$16,$H$38:$I$38)&lt;&gt;0),SUM(C$6:C$7),0)</f>
        <v>738970527.09000003</v>
      </c>
      <c r="I12" s="400">
        <f>SUM(I$6:I$7) - SUM(I$10:I$11)+IF(AND(OR('Company Information'!$C$12="District of Columbia",'Company Information'!$C$12="Massachusetts",'Company Information'!$C$12="Vermont"),SUM($H$6:$K$11,$H$15:$K$16,$H$38:$I$38)&lt;&gt;0),SUM(D$6:D$7) - SUM(D$8:D$11),0)</f>
        <v>703458994.31999993</v>
      </c>
      <c r="J12" s="400">
        <f>SUM(J$6:J$7)-SUM(J$10:J$11)+IF(AND(OR('Company Information'!$C$12="District of Columbia",'Company Information'!$C$12="Massachusetts",'Company Information'!$C$12="Vermont"),SUM($H$6:$K$11,$H$15:$K$16,$H$38:$I$38)&lt;&gt;0),SUM(E$6:E$7)-SUM(E$8:E$11),0)</f>
        <v>663609748.85000002</v>
      </c>
      <c r="K12" s="400">
        <f>IFERROR(SUM(H$12:J$12)+H$17*MAX(0,J$50-H$50)+I$17*MAX(0,J$50-I$50),0)</f>
        <v>2106039270.2599998</v>
      </c>
      <c r="L12" s="447"/>
      <c r="M12" s="399">
        <f>SUM(M$6:M$7)</f>
        <v>464943027.18000001</v>
      </c>
      <c r="N12" s="400">
        <f>SUM(N$6:N$7)</f>
        <v>386504646.37</v>
      </c>
      <c r="O12" s="400">
        <f>SUM(O$6:O$7)</f>
        <v>357949282.83999997</v>
      </c>
      <c r="P12" s="400">
        <f>SUM(M$12:O$12)+M$17*MAX(0,O$50-M$50)+N$17*MAX(0,O$50-N$50)</f>
        <v>1209396956.3899999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2131033.002480817</v>
      </c>
      <c r="AL13" s="400">
        <f>SUM(AL$6:AL$7)</f>
        <v>1631252.8721</v>
      </c>
      <c r="AM13" s="400">
        <f>SUM(AM$6:AM$7)</f>
        <v>318097.2438</v>
      </c>
      <c r="AN13" s="430">
        <f>SUM(AN$6:AN$7)</f>
        <v>3802422.2919702758</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654286485.63999999</v>
      </c>
      <c r="D15" s="403">
        <v>883098204.14999998</v>
      </c>
      <c r="E15" s="395">
        <f>SUM('Pt 1 Summary of Data'!E$5:E$7)+SUM('Pt 1 Summary of Data'!G$5:G$7)-SUM('Pt 1 Summary of Data'!H$5:H$7)-SUM(E$9:E$11)</f>
        <v>735690008.94000006</v>
      </c>
      <c r="F15" s="395">
        <f>SUM(C15:E15)</f>
        <v>2273074698.73</v>
      </c>
      <c r="G15" s="396">
        <f>SUM('Pt 1 Summary of Data'!I$5:I$7)-SUM(G$9:G$10)</f>
        <v>341410493</v>
      </c>
      <c r="H15" s="402">
        <v>946121961.32000005</v>
      </c>
      <c r="I15" s="403">
        <v>905956143.62</v>
      </c>
      <c r="J15" s="395">
        <f>SUM('Pt 1 Summary of Data'!K$5:K$7)+SUM('Pt 1 Summary of Data'!M$5:M$7)-SUM('Pt 1 Summary of Data'!N$5:N$7)-SUM(J$10:J$11)</f>
        <v>849314966.88999999</v>
      </c>
      <c r="K15" s="395">
        <f>SUM(H15:J15)</f>
        <v>2701393071.8299999</v>
      </c>
      <c r="L15" s="396">
        <f>SUM('Pt 1 Summary of Data'!O$5:O$7)-L$10</f>
        <v>0</v>
      </c>
      <c r="M15" s="402">
        <v>524053287.31</v>
      </c>
      <c r="N15" s="403">
        <v>459669044.62</v>
      </c>
      <c r="O15" s="395">
        <f>SUM('Pt 1 Summary of Data'!Q$5:Q$7)+SUM('Pt 1 Summary of Data'!S$5:S$7)-SUM('Pt 1 Summary of Data'!T$5:T$7)+N$56</f>
        <v>417073695.84999996</v>
      </c>
      <c r="P15" s="395">
        <f>SUM(M15:O15)</f>
        <v>1400796027.78</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v>1872108.12</v>
      </c>
      <c r="AL15" s="403">
        <v>1445398.09</v>
      </c>
      <c r="AM15" s="395">
        <f>SUM('Pt 1 Summary of Data'!AO$5:AO$7)+SUM('Pt 1 Summary of Data'!AQ$5:AQ$7)-SUM('Pt 1 Summary of Data'!AR$5:AR$7)+AL$56</f>
        <v>493277.12</v>
      </c>
      <c r="AN15" s="431">
        <f>SUM(AK15:AM15)</f>
        <v>3810783.33</v>
      </c>
    </row>
    <row r="16" spans="1:40" x14ac:dyDescent="0.2">
      <c r="B16" s="415" t="s">
        <v>311</v>
      </c>
      <c r="C16" s="397">
        <v>7818792</v>
      </c>
      <c r="D16" s="398">
        <v>42154691.890000001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12150629.639999999</v>
      </c>
      <c r="F16" s="400">
        <f>SUM(C16:E16)</f>
        <v>62124113.530000001</v>
      </c>
      <c r="G16" s="401">
        <f>SUM('Pt 1 Summary of Data'!I$25:I$28,'Pt 1 Summary of Data'!I$30,'Pt 1 Summary of Data'!I$34:I$35)+IF('Company Information'!$C$15="No",IF(MAX('Pt 1 Summary of Data'!I$31:I$32)=0,MIN('Pt 1 Summary of Data'!I$31:I$32),MAX('Pt 1 Summary of Data'!I$31:I$32)),SUM('Pt 1 Summary of Data'!I$31:I$32))</f>
        <v>-4849840</v>
      </c>
      <c r="H16" s="397">
        <v>36382500.659999996</v>
      </c>
      <c r="I16" s="398">
        <v>56345147.240000002</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67870748.870000005</v>
      </c>
      <c r="K16" s="400">
        <f>SUM(H16:J16)</f>
        <v>160598396.77000001</v>
      </c>
      <c r="L16" s="401">
        <f>SUM('Pt 1 Summary of Data'!O$25:O$28,'Pt 1 Summary of Data'!O$30,'Pt 1 Summary of Data'!O$34:O$35)+IF('Company Information'!$C$15="No",IF(MAX('Pt 1 Summary of Data'!O$31:O$32)=0,MIN('Pt 1 Summary of Data'!O$31:O$32),MAX('Pt 1 Summary of Data'!O$31:O$32)),SUM('Pt 1 Summary of Data'!O$31:O$32))</f>
        <v>0</v>
      </c>
      <c r="M16" s="397">
        <v>4157085.16</v>
      </c>
      <c r="N16" s="398">
        <v>10304755.630000001</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4879502.2199999988</v>
      </c>
      <c r="P16" s="400">
        <f>SUM(M16:O16)</f>
        <v>19341343.009999998</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v>-4801.191437092948</v>
      </c>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3310.9299999999976</v>
      </c>
      <c r="AN16" s="430">
        <f>SUM(AK16:AM16)</f>
        <v>-1490.2614370929505</v>
      </c>
    </row>
    <row r="17" spans="1:40" s="65" customFormat="1" x14ac:dyDescent="0.2">
      <c r="A17" s="108"/>
      <c r="B17" s="416" t="s">
        <v>318</v>
      </c>
      <c r="C17" s="399">
        <f>C$15-C$16+IF(AND(OR('Company Information'!$C$12="District of Columbia",'Company Information'!$C$12="Massachusetts",'Company Information'!$C$12="Vermont"),SUM($C$6:$F$11,$C$15:$F$16,$C$38:$D$38)&lt;&gt;0),H$15-H$16,0)</f>
        <v>646467693.63999999</v>
      </c>
      <c r="D17" s="400">
        <f>D$15-D$16+IF(AND(OR('Company Information'!$C$12="District of Columbia",'Company Information'!$C$12="Massachusetts",'Company Information'!$C$12="Vermont"),SUM($C$6:$F$11,$C$15:$F$16,$C$38:$D$38)&lt;&gt;0),I$15-I$16,0)</f>
        <v>840943512.25999999</v>
      </c>
      <c r="E17" s="400">
        <f>E$15-E$16+IF(AND(OR('Company Information'!$C$12="District of Columbia",'Company Information'!$C$12="Massachusetts",'Company Information'!$C$12="Vermont"),SUM($C$6:$F$11,$C$15:$F$16,$C$38:$D$38)&lt;&gt;0),J$15-J$16,0)</f>
        <v>723539379.30000007</v>
      </c>
      <c r="F17" s="400">
        <f>F$15-F$16+IF(AND(OR('Company Information'!$C$12="District of Columbia",'Company Information'!$C$12="Massachusetts",'Company Information'!$C$12="Vermont"),SUM($C$6:$F$11,$C$15:$F$16,$C$38:$D$38)&lt;&gt;0),K$15-K$16,0)</f>
        <v>2210950585.1999998</v>
      </c>
      <c r="G17" s="450"/>
      <c r="H17" s="399">
        <f>H$15-H$16+IF(AND(OR('Company Information'!$C$12="District of Columbia",'Company Information'!$C$12="Massachusetts",'Company Information'!$C$12="Vermont"),SUM($H$6:$K$11,$H$15:$K$16,$H$38:$I$38)&lt;&gt;0),C$15-C$16,0)</f>
        <v>909739460.66000009</v>
      </c>
      <c r="I17" s="400">
        <f>I$15-I$16+IF(AND(OR('Company Information'!$C$12="District of Columbia",'Company Information'!$C$12="Massachusetts",'Company Information'!$C$12="Vermont"),SUM($H$6:$K$11,$H$15:$K$16,$H$38:$I$38)&lt;&gt;0),D$15-D$16,0)</f>
        <v>849610996.38</v>
      </c>
      <c r="J17" s="400">
        <f>J$15-J$16+IF(AND(OR('Company Information'!$C$12="District of Columbia",'Company Information'!$C$12="Massachusetts",'Company Information'!$C$12="Vermont"),SUM($H$6:$K$11,$H$15:$K$16,$H$38:$I$38)&lt;&gt;0),E$15-E$16,0)</f>
        <v>781444218.01999998</v>
      </c>
      <c r="K17" s="400">
        <f>K$15-K$16+IF(AND(OR('Company Information'!$C$12="District of Columbia",'Company Information'!$C$12="Massachusetts",'Company Information'!$C$12="Vermont"),SUM($H$6:$K$11,$H$15:$K$16,$H$38:$I$38)&lt;&gt;0),F$15-F$16,0)</f>
        <v>2540794675.0599999</v>
      </c>
      <c r="L17" s="450"/>
      <c r="M17" s="399">
        <f>M$15-M$16</f>
        <v>519896202.14999998</v>
      </c>
      <c r="N17" s="400">
        <f>N$15-N$16</f>
        <v>449364288.99000001</v>
      </c>
      <c r="O17" s="400">
        <f>O$15-O$16</f>
        <v>412194193.63</v>
      </c>
      <c r="P17" s="400">
        <f>P$15-P$16</f>
        <v>1381454684.77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1872108.12</v>
      </c>
      <c r="AL17" s="400">
        <f>AL$15-AL$16</f>
        <v>1450199.2814370929</v>
      </c>
      <c r="AM17" s="400">
        <f>AM$15-AM$16</f>
        <v>489966.19</v>
      </c>
      <c r="AN17" s="430">
        <f>AN$15-AN$16</f>
        <v>3812273.591437093</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325617361</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43128080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17313016.650000002</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-22485108</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17313016.650000002</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10387809.99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55591256.650000006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55591256.650000006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71327433.260000005</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285819236.35000002</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48666049.990000002</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10387809.99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48666049.990000002</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64402226.600000009</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292744443.00999999</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1.1122922015256738</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22070487</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14538893</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316253</v>
      </c>
      <c r="D38" s="405">
        <v>335189.08</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224918</v>
      </c>
      <c r="F38" s="432">
        <f>SUM(C$38:E$38)+IF(AND(OR('Company Information'!$C$12="District of Columbia",'Company Information'!$C$12="Massachusetts",'Company Information'!$C$12="Vermont"),SUM($C$6:$F$11,$C$15:$F$16,$C$38:$D$38)&lt;&gt;0,SUM(C$38:D$38)&lt;&gt;SUM(H$38:I$38)),SUM(H$38:I$38),0)</f>
        <v>876360.08000000007</v>
      </c>
      <c r="G38" s="448"/>
      <c r="H38" s="404">
        <v>219627</v>
      </c>
      <c r="I38" s="405">
        <v>201596.58000000002</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178410.16666666666</v>
      </c>
      <c r="K38" s="432">
        <f>SUM(H$38:J$38)+IF(AND(OR('Company Information'!$C$12="District of Columbia",'Company Information'!$C$12="Massachusetts",'Company Information'!$C$12="Vermont"),SUM($H$6:$K$11,$H$15:$K$16,$H$38:$I$38)&lt;&gt;0,SUM(H$38:I$38)&lt;&gt;SUM(C$38:D$38)),SUM(C$38:D$38),0)</f>
        <v>599633.7466666667</v>
      </c>
      <c r="L38" s="448"/>
      <c r="M38" s="404">
        <v>124629</v>
      </c>
      <c r="N38" s="405">
        <v>100264.67</v>
      </c>
      <c r="O38" s="432">
        <f>('Pt 1 Summary of Data'!Q$59+'Pt 1 Summary of Data'!S$59-'Pt 1 Summary of Data'!T$59)/12</f>
        <v>88351.166666666672</v>
      </c>
      <c r="P38" s="432">
        <f>SUM(M$38:O$38)</f>
        <v>313244.83666666667</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v>1192</v>
      </c>
      <c r="AL38" s="405">
        <v>817.25</v>
      </c>
      <c r="AM38" s="432">
        <f>('Pt 1 Summary of Data'!AO$59+'Pt 1 Summary of Data'!AQ$59-'Pt 1 Summary of Data'!AR$59)/12</f>
        <v>205.16666666666666</v>
      </c>
      <c r="AN38" s="433">
        <f>SUM(AK38:AM38)</f>
        <v>2214.4166666666665</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5.7902055555555554E-2</v>
      </c>
    </row>
    <row r="40" spans="1:40" s="10" customFormat="1" x14ac:dyDescent="0.2">
      <c r="A40" s="107"/>
      <c r="B40" s="421" t="s">
        <v>321</v>
      </c>
      <c r="C40" s="443"/>
      <c r="D40" s="441"/>
      <c r="E40" s="441"/>
      <c r="F40" s="398">
        <v>160356</v>
      </c>
      <c r="G40" s="447"/>
      <c r="H40" s="443"/>
      <c r="I40" s="441"/>
      <c r="J40" s="441"/>
      <c r="K40" s="398">
        <v>45922</v>
      </c>
      <c r="L40" s="447"/>
      <c r="M40" s="443"/>
      <c r="N40" s="441"/>
      <c r="O40" s="441"/>
      <c r="P40" s="398">
        <v>39931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1.736</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1.736</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1.736</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 ca="1">IF(OR(AN$38&lt;1000,AN$38&gt;=75000),0,AN$39*AN$41)</f>
        <v>5.7902055555555554E-2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0.82017851700299238</v>
      </c>
      <c r="D45" s="436">
        <f>IF(OR(D$38&lt;1000,D$17&lt;=0),"",D$12/D$17)</f>
        <v>0.85412107455313679</v>
      </c>
      <c r="E45" s="436">
        <f>IF(OR(E$38&lt;1000,E$17&lt;=0),"",E$12/E$17)</f>
        <v>0.88431650216332602</v>
      </c>
      <c r="F45" s="436">
        <f>IF(OR(F$38&lt;1000,F$17&lt;=0),"",F$12/F$17)</f>
        <v>0.85407802250776432</v>
      </c>
      <c r="G45" s="447"/>
      <c r="H45" s="438">
        <f>IF(OR(H$38&lt;1000,H$17&lt;=0),"",H$12/H$17)</f>
        <v>0.81228808801356145</v>
      </c>
      <c r="I45" s="436">
        <f>IF(OR(I$38&lt;1000,I$17&lt;=0),"",I$12/I$17)</f>
        <v>0.82797774195164531</v>
      </c>
      <c r="J45" s="436">
        <f>IF(OR(J$38&lt;1000,J$17&lt;=0),"",J$12/J$17)</f>
        <v>0.84920936587314522</v>
      </c>
      <c r="K45" s="436">
        <f>IF(OR(K$38&lt;1000,K$17&lt;=0),"",K$12/K$17)</f>
        <v>0.82888998899931432</v>
      </c>
      <c r="L45" s="447"/>
      <c r="M45" s="438">
        <f>IF(OR(M$38&lt;1000,M$17&lt;=0),"",M$12/M$17)</f>
        <v>0.89429971840004918</v>
      </c>
      <c r="N45" s="436">
        <f>IF(OR(N$38&lt;1000,N$17&lt;=0),"",N$12/N$17)</f>
        <v>0.86011428998667305</v>
      </c>
      <c r="O45" s="436">
        <f>IF(OR(O$38&lt;1000,O$17&lt;=0),"",O$12/O$17)</f>
        <v>0.86839962418613748</v>
      </c>
      <c r="P45" s="436">
        <f>IF(OR(P$38&lt;1000,P$17&lt;=0),"",P$12/P$17)</f>
        <v>0.87545177538078556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f>IF(OR(AK$38&lt;1000,AK$17&lt;=0),"",AK$13/AK$17)</f>
        <v>1.13830658588288</v>
      </c>
      <c r="AL46" s="436" t="str">
        <f>IF(OR(AL$38&lt;1000,AL$17&lt;=0),"",AL$13/AL$17)</f>
        <v/>
      </c>
      <c r="AM46" s="436" t="str">
        <f>IF(OR(AM$38&lt;1000,AM$17&lt;=0),"",AM$13/AM$17)</f>
        <v/>
      </c>
      <c r="AN46" s="437">
        <f>IF(OR(AN$38&lt;1000,AN$17&lt;=0),"",AN$13/AN$17)</f>
        <v>0.99741589913983497</v>
      </c>
    </row>
    <row r="47" spans="1:40" s="65" customFormat="1" x14ac:dyDescent="0.2">
      <c r="A47" s="107"/>
      <c r="B47" s="421" t="s">
        <v>328</v>
      </c>
      <c r="C47" s="443"/>
      <c r="D47" s="441"/>
      <c r="E47" s="441"/>
      <c r="F47" s="436">
        <f>IF(F$45="","",F$42)</f>
        <v>0</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f ca="1">IF(AN$46="","",AN$42)</f>
        <v>5.7902055555555554E-2</v>
      </c>
    </row>
    <row r="48" spans="1:40" s="9" customFormat="1" x14ac:dyDescent="0.2">
      <c r="A48" s="108"/>
      <c r="B48" s="423" t="s">
        <v>327</v>
      </c>
      <c r="C48" s="443"/>
      <c r="D48" s="441"/>
      <c r="E48" s="441"/>
      <c r="F48" s="436">
        <f>IF(F$45="","",ROUND(F$45+MAX(0,F$47),3))</f>
        <v>0.85399999999999998</v>
      </c>
      <c r="G48" s="447"/>
      <c r="H48" s="443"/>
      <c r="I48" s="441"/>
      <c r="J48" s="441"/>
      <c r="K48" s="436">
        <f>IF(K$45="","",ROUND(K$45+MAX(0,K$47),3))</f>
        <v>0.82899999999999996</v>
      </c>
      <c r="L48" s="447"/>
      <c r="M48" s="443"/>
      <c r="N48" s="441"/>
      <c r="O48" s="441"/>
      <c r="P48" s="436">
        <f>IF(P$45="","",ROUND(P$45+MAX(0,P$47),3))</f>
        <v>0.875</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f ca="1">IF(AN$46="","",ROUND(AN$46+MAX(0,AN$47),3))</f>
        <v>1.0549999999999999</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f>F$48</f>
        <v>0.85399999999999998</v>
      </c>
      <c r="G51" s="447"/>
      <c r="H51" s="444"/>
      <c r="I51" s="442"/>
      <c r="J51" s="442"/>
      <c r="K51" s="436">
        <f>K$48</f>
        <v>0.82899999999999996</v>
      </c>
      <c r="L51" s="447"/>
      <c r="M51" s="444"/>
      <c r="N51" s="442"/>
      <c r="O51" s="442"/>
      <c r="P51" s="436">
        <f>P$48</f>
        <v>0.875</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f ca="1">AN$48</f>
        <v>1.0549999999999999</v>
      </c>
    </row>
    <row r="52" spans="1:40" s="65" customFormat="1" ht="26.25" customHeight="1" x14ac:dyDescent="0.2">
      <c r="A52" s="107"/>
      <c r="B52" s="419" t="s">
        <v>332</v>
      </c>
      <c r="C52" s="443"/>
      <c r="D52" s="441"/>
      <c r="E52" s="441"/>
      <c r="F52" s="400">
        <f>IF(F$38&lt;1000,"",MAX(0,E$15-E$16))</f>
        <v>723539379.30000007</v>
      </c>
      <c r="G52" s="447"/>
      <c r="H52" s="443"/>
      <c r="I52" s="441"/>
      <c r="J52" s="441"/>
      <c r="K52" s="400">
        <f>IF(K$38&lt;1000,"",MAX(0,J$15-J$16))</f>
        <v>781444218.01999998</v>
      </c>
      <c r="L52" s="447"/>
      <c r="M52" s="443"/>
      <c r="N52" s="441"/>
      <c r="O52" s="441"/>
      <c r="P52" s="400">
        <f>IF(P$38&lt;1000,"",MAX(0,O$15-O$16))</f>
        <v>412194193.63</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f>IF(AN$38&lt;1000,"",MAX(0,AM$15-AM$16))</f>
        <v>489966.19</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 ca="1">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4919703.38</v>
      </c>
      <c r="D56" s="441"/>
      <c r="E56" s="441"/>
      <c r="F56" s="441"/>
      <c r="G56" s="447"/>
      <c r="H56" s="397">
        <v>4697196.63</v>
      </c>
      <c r="I56" s="441"/>
      <c r="J56" s="441"/>
      <c r="K56" s="441"/>
      <c r="L56" s="447"/>
      <c r="M56" s="397">
        <v>1979640.22</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91913.13</v>
      </c>
      <c r="D57" s="441"/>
      <c r="E57" s="441"/>
      <c r="F57" s="441"/>
      <c r="G57" s="447"/>
      <c r="H57" s="397">
        <v>182615.06</v>
      </c>
      <c r="I57" s="441"/>
      <c r="J57" s="441"/>
      <c r="K57" s="441"/>
      <c r="L57" s="447"/>
      <c r="M57" s="397">
        <v>12424.16</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-2706890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333985925</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331279035</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1" sqref="C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115379</v>
      </c>
      <c r="D4" s="104">
        <f>'Pt 1 Summary of Data'!$K$56+'Pt 1 Summary of Data'!$M$56-'Pt 1 Summary of Data'!$N$56</f>
        <v>101367</v>
      </c>
      <c r="E4" s="104">
        <f>'Pt 1 Summary of Data'!$Q$56+'Pt 1 Summary of Data'!$S$56-'Pt 1 Summary of Data'!$T$56</f>
        <v>44482</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1002</v>
      </c>
      <c r="E6" s="100">
        <v>70</v>
      </c>
      <c r="F6" s="184"/>
      <c r="G6" s="100"/>
      <c r="H6" s="100"/>
      <c r="I6" s="184"/>
      <c r="J6" s="184"/>
      <c r="K6" s="189"/>
    </row>
    <row r="7" spans="2:11" x14ac:dyDescent="0.2">
      <c r="B7" s="116" t="s">
        <v>102</v>
      </c>
      <c r="C7" s="101">
        <v>37139</v>
      </c>
      <c r="D7" s="102">
        <v>47</v>
      </c>
      <c r="E7" s="102">
        <v>48</v>
      </c>
      <c r="F7" s="102"/>
      <c r="G7" s="102"/>
      <c r="H7" s="102"/>
      <c r="I7" s="190"/>
      <c r="J7" s="190"/>
      <c r="K7" s="193"/>
    </row>
    <row r="8" spans="2:11" x14ac:dyDescent="0.2">
      <c r="B8" s="116" t="s">
        <v>103</v>
      </c>
      <c r="C8" s="182"/>
      <c r="D8" s="102">
        <v>24</v>
      </c>
      <c r="E8" s="102">
        <v>4</v>
      </c>
      <c r="F8" s="185"/>
      <c r="G8" s="102"/>
      <c r="H8" s="102"/>
      <c r="I8" s="190"/>
      <c r="J8" s="190"/>
      <c r="K8" s="194"/>
    </row>
    <row r="9" spans="2:11" ht="13.15" customHeight="1" x14ac:dyDescent="0.2">
      <c r="B9" s="116" t="s">
        <v>104</v>
      </c>
      <c r="C9" s="101">
        <v>538</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v>-1004.16</v>
      </c>
      <c r="D12" s="95">
        <v>-12.48</v>
      </c>
      <c r="E12" s="95">
        <v>-4.7699999999999996</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16356410.42</v>
      </c>
      <c r="D16" s="99">
        <v>5342227.7</v>
      </c>
      <c r="E16" s="99">
        <v>2949875.1</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v>1</v>
      </c>
      <c r="E18" s="106">
        <v>1</v>
      </c>
      <c r="F18" s="106"/>
      <c r="G18" s="106"/>
      <c r="H18" s="106"/>
      <c r="I18" s="180"/>
      <c r="J18" s="180"/>
      <c r="K18" s="198"/>
    </row>
    <row r="19" spans="2:12" ht="25.5" x14ac:dyDescent="0.2">
      <c r="B19" s="116" t="s">
        <v>208</v>
      </c>
      <c r="C19" s="179"/>
      <c r="D19" s="106">
        <v>1</v>
      </c>
      <c r="E19" s="106">
        <v>1</v>
      </c>
      <c r="F19" s="188"/>
      <c r="G19" s="106"/>
      <c r="H19" s="106"/>
      <c r="I19" s="180"/>
      <c r="J19" s="180"/>
      <c r="K19" s="199"/>
    </row>
    <row r="20" spans="2:12" ht="25.5" x14ac:dyDescent="0.2">
      <c r="B20" s="116" t="s">
        <v>209</v>
      </c>
      <c r="C20" s="187">
        <v>1</v>
      </c>
      <c r="D20" s="106">
        <v>1</v>
      </c>
      <c r="E20" s="106">
        <v>1</v>
      </c>
      <c r="F20" s="106"/>
      <c r="G20" s="106"/>
      <c r="H20" s="106"/>
      <c r="I20" s="180"/>
      <c r="J20" s="180"/>
      <c r="K20" s="198"/>
    </row>
    <row r="21" spans="2:12" ht="25.5" x14ac:dyDescent="0.2">
      <c r="B21" s="116" t="s">
        <v>210</v>
      </c>
      <c r="C21" s="179"/>
      <c r="D21" s="106">
        <v>1</v>
      </c>
      <c r="E21" s="106">
        <v>1</v>
      </c>
      <c r="F21" s="188"/>
      <c r="G21" s="106"/>
      <c r="H21" s="106"/>
      <c r="I21" s="180"/>
      <c r="J21" s="180"/>
      <c r="K21" s="199"/>
    </row>
    <row r="22" spans="2:12" s="5" customFormat="1" x14ac:dyDescent="0.2">
      <c r="B22" s="126" t="s">
        <v>211</v>
      </c>
      <c r="C22" s="121">
        <v>1639320.59</v>
      </c>
      <c r="D22" s="127">
        <v>126937.03</v>
      </c>
      <c r="E22" s="127">
        <v>153587.65</v>
      </c>
      <c r="F22" s="127"/>
      <c r="G22" s="127"/>
      <c r="H22" s="127"/>
      <c r="I22" s="181"/>
      <c r="J22" s="181"/>
      <c r="K22" s="200"/>
    </row>
    <row r="23" spans="2:12" s="5" customFormat="1" ht="100.15" customHeight="1" x14ac:dyDescent="0.2">
      <c r="B23" s="91" t="s">
        <v>212</v>
      </c>
      <c r="C23" s="484" t="s">
        <v>540</v>
      </c>
      <c r="D23" s="485"/>
      <c r="E23" s="485"/>
      <c r="F23" s="485"/>
      <c r="G23" s="485"/>
      <c r="H23" s="485"/>
      <c r="I23" s="485"/>
      <c r="J23" s="485"/>
      <c r="K23" s="486"/>
    </row>
    <row r="24" spans="2:12" s="5" customFormat="1" ht="100.15" customHeight="1" x14ac:dyDescent="0.2">
      <c r="B24" s="90" t="s">
        <v>213</v>
      </c>
      <c r="C24" s="487" t="s">
        <v>541</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113" yWindow="399"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t="s">
        <v>508</v>
      </c>
      <c r="C10" s="28"/>
      <c r="D10" s="29"/>
      <c r="E10" s="29"/>
      <c r="F10" s="29"/>
      <c r="G10" s="29"/>
      <c r="H10" s="29"/>
      <c r="I10" s="27"/>
      <c r="J10" s="27"/>
      <c r="K10" s="2"/>
    </row>
    <row r="11" spans="1:12" s="5" customFormat="1" ht="18" customHeight="1" x14ac:dyDescent="0.2">
      <c r="B11" s="61" t="s">
        <v>509</v>
      </c>
      <c r="C11" s="28"/>
      <c r="D11" s="29"/>
      <c r="E11" s="29"/>
      <c r="F11" s="29"/>
      <c r="G11" s="29"/>
      <c r="H11" s="29"/>
      <c r="I11" s="27"/>
      <c r="J11" s="27"/>
      <c r="K11" s="2"/>
    </row>
    <row r="12" spans="1:12" s="5" customFormat="1" ht="18" customHeight="1" x14ac:dyDescent="0.2">
      <c r="B12" s="61" t="s">
        <v>510</v>
      </c>
      <c r="C12" s="28"/>
      <c r="D12" s="29"/>
      <c r="E12" s="29"/>
      <c r="F12" s="29"/>
      <c r="G12" s="29"/>
      <c r="H12" s="29"/>
      <c r="I12" s="27"/>
      <c r="J12" s="27"/>
      <c r="K12" s="2"/>
    </row>
    <row r="13" spans="1:12" s="5" customFormat="1" ht="18" customHeight="1" x14ac:dyDescent="0.2">
      <c r="B13" s="61" t="s">
        <v>511</v>
      </c>
      <c r="C13" s="28"/>
      <c r="D13" s="29"/>
      <c r="E13" s="29"/>
      <c r="F13" s="29"/>
      <c r="G13" s="29"/>
      <c r="H13" s="29"/>
      <c r="I13" s="27"/>
      <c r="J13" s="27"/>
      <c r="K13" s="2"/>
    </row>
    <row r="14" spans="1:12" s="5" customFormat="1" ht="18" customHeight="1" x14ac:dyDescent="0.2">
      <c r="B14" s="61" t="s">
        <v>512</v>
      </c>
      <c r="C14" s="28"/>
      <c r="D14" s="29"/>
      <c r="E14" s="29"/>
      <c r="F14" s="29"/>
      <c r="G14" s="29"/>
      <c r="H14" s="29"/>
      <c r="I14" s="27"/>
      <c r="J14" s="27"/>
      <c r="K14" s="2"/>
    </row>
    <row r="15" spans="1:12" s="5" customFormat="1" ht="18" customHeight="1" x14ac:dyDescent="0.2">
      <c r="B15" s="61" t="s">
        <v>513</v>
      </c>
      <c r="C15" s="28"/>
      <c r="D15" s="29"/>
      <c r="E15" s="29"/>
      <c r="F15" s="29"/>
      <c r="G15" s="29"/>
      <c r="H15" s="29"/>
      <c r="I15" s="27"/>
      <c r="J15" s="27"/>
      <c r="K15" s="2"/>
    </row>
    <row r="16" spans="1:12" s="5" customFormat="1" ht="18" customHeight="1" x14ac:dyDescent="0.2">
      <c r="B16" s="61" t="s">
        <v>514</v>
      </c>
      <c r="C16" s="28"/>
      <c r="D16" s="29"/>
      <c r="E16" s="29"/>
      <c r="F16" s="29"/>
      <c r="G16" s="29"/>
      <c r="H16" s="29"/>
      <c r="I16" s="27"/>
      <c r="J16" s="27"/>
      <c r="K16" s="2"/>
    </row>
    <row r="17" spans="2:11" s="5" customFormat="1" ht="18" customHeight="1" x14ac:dyDescent="0.2">
      <c r="B17" s="61" t="s">
        <v>515</v>
      </c>
      <c r="C17" s="28"/>
      <c r="D17" s="29"/>
      <c r="E17" s="29"/>
      <c r="F17" s="29"/>
      <c r="G17" s="29"/>
      <c r="H17" s="29"/>
      <c r="I17" s="27"/>
      <c r="J17" s="27"/>
      <c r="K17" s="2"/>
    </row>
    <row r="18" spans="2:11" s="5" customFormat="1" ht="18" customHeight="1" x14ac:dyDescent="0.2">
      <c r="B18" s="61" t="s">
        <v>516</v>
      </c>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517</v>
      </c>
      <c r="C36" s="483">
        <v>32143</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519</v>
      </c>
      <c r="E27" s="7"/>
    </row>
    <row r="28" spans="2:5" ht="35.25" customHeight="1" x14ac:dyDescent="0.2">
      <c r="B28" s="134"/>
      <c r="C28" s="113"/>
      <c r="D28" s="137" t="s">
        <v>520</v>
      </c>
      <c r="E28" s="7"/>
    </row>
    <row r="29" spans="2:5" ht="35.25" customHeight="1" x14ac:dyDescent="0.2">
      <c r="B29" s="134"/>
      <c r="C29" s="113"/>
      <c r="D29" s="137" t="s">
        <v>521</v>
      </c>
      <c r="E29" s="7"/>
    </row>
    <row r="30" spans="2:5" ht="35.25" customHeight="1" x14ac:dyDescent="0.2">
      <c r="B30" s="134"/>
      <c r="C30" s="113"/>
      <c r="D30" s="137" t="s">
        <v>522</v>
      </c>
      <c r="E30" s="7"/>
    </row>
    <row r="31" spans="2:5" ht="35.25" customHeight="1" x14ac:dyDescent="0.2">
      <c r="B31" s="134"/>
      <c r="C31" s="113"/>
      <c r="D31" s="137" t="s">
        <v>523</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524</v>
      </c>
      <c r="E34" s="7"/>
    </row>
    <row r="35" spans="2:5" ht="35.25" customHeight="1" x14ac:dyDescent="0.2">
      <c r="B35" s="134"/>
      <c r="C35" s="113"/>
      <c r="D35" s="137" t="s">
        <v>525</v>
      </c>
      <c r="E35" s="7"/>
    </row>
    <row r="36" spans="2:5" ht="35.25" customHeight="1" x14ac:dyDescent="0.2">
      <c r="B36" s="134"/>
      <c r="C36" s="113"/>
      <c r="D36" s="137" t="s">
        <v>526</v>
      </c>
      <c r="E36" s="7"/>
    </row>
    <row r="37" spans="2:5" ht="35.25" customHeight="1" x14ac:dyDescent="0.2">
      <c r="B37" s="134"/>
      <c r="C37" s="113"/>
      <c r="D37" s="137" t="s">
        <v>527</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529</v>
      </c>
      <c r="E48" s="7"/>
    </row>
    <row r="49" spans="2:5" ht="35.25" customHeight="1" x14ac:dyDescent="0.2">
      <c r="B49" s="134"/>
      <c r="C49" s="113"/>
      <c r="D49" s="137" t="s">
        <v>530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531</v>
      </c>
      <c r="E56" s="7"/>
    </row>
    <row r="57" spans="2:5" ht="35.25" customHeight="1" x14ac:dyDescent="0.2">
      <c r="B57" s="134"/>
      <c r="C57" s="115"/>
      <c r="D57" s="137" t="s">
        <v>532</v>
      </c>
      <c r="E57" s="7"/>
    </row>
    <row r="58" spans="2:5" ht="35.25" customHeight="1" x14ac:dyDescent="0.2">
      <c r="B58" s="134"/>
      <c r="C58" s="115"/>
      <c r="D58" s="137" t="s">
        <v>533</v>
      </c>
      <c r="E58" s="7"/>
    </row>
    <row r="59" spans="2:5" ht="35.25" customHeight="1" x14ac:dyDescent="0.2">
      <c r="B59" s="134"/>
      <c r="C59" s="115"/>
      <c r="D59" s="137" t="s">
        <v>534</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531</v>
      </c>
      <c r="E67" s="7"/>
    </row>
    <row r="68" spans="2:5" ht="35.25" customHeight="1" x14ac:dyDescent="0.2">
      <c r="B68" s="134"/>
      <c r="C68" s="115"/>
      <c r="D68" s="137" t="s">
        <v>532</v>
      </c>
      <c r="E68" s="7"/>
    </row>
    <row r="69" spans="2:5" ht="35.25" customHeight="1" x14ac:dyDescent="0.2">
      <c r="B69" s="134"/>
      <c r="C69" s="115"/>
      <c r="D69" s="137" t="s">
        <v>533</v>
      </c>
      <c r="E69" s="7"/>
    </row>
    <row r="70" spans="2:5" ht="35.25" customHeight="1" x14ac:dyDescent="0.2">
      <c r="B70" s="134"/>
      <c r="C70" s="115"/>
      <c r="D70" s="137" t="s">
        <v>534</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531</v>
      </c>
      <c r="E78" s="7"/>
    </row>
    <row r="79" spans="2:5" ht="35.25" customHeight="1" x14ac:dyDescent="0.2">
      <c r="B79" s="134"/>
      <c r="C79" s="115"/>
      <c r="D79" s="137" t="s">
        <v>532</v>
      </c>
      <c r="E79" s="7"/>
    </row>
    <row r="80" spans="2:5" ht="35.25" customHeight="1" x14ac:dyDescent="0.2">
      <c r="B80" s="134"/>
      <c r="C80" s="115"/>
      <c r="D80" s="137" t="s">
        <v>533</v>
      </c>
      <c r="E80" s="7"/>
    </row>
    <row r="81" spans="2:5" ht="35.25" customHeight="1" x14ac:dyDescent="0.2">
      <c r="B81" s="134"/>
      <c r="C81" s="115"/>
      <c r="D81" s="137" t="s">
        <v>534</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531</v>
      </c>
      <c r="E89" s="7"/>
    </row>
    <row r="90" spans="2:5" ht="35.25" customHeight="1" x14ac:dyDescent="0.2">
      <c r="B90" s="134"/>
      <c r="C90" s="115"/>
      <c r="D90" s="137" t="s">
        <v>532</v>
      </c>
      <c r="E90" s="7"/>
    </row>
    <row r="91" spans="2:5" ht="35.25" customHeight="1" x14ac:dyDescent="0.2">
      <c r="B91" s="134"/>
      <c r="C91" s="115"/>
      <c r="D91" s="137" t="s">
        <v>533</v>
      </c>
      <c r="E91" s="7"/>
    </row>
    <row r="92" spans="2:5" ht="35.25" customHeight="1" x14ac:dyDescent="0.2">
      <c r="B92" s="134"/>
      <c r="C92" s="115"/>
      <c r="D92" s="137" t="s">
        <v>534</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535</v>
      </c>
      <c r="E100" s="7"/>
    </row>
    <row r="101" spans="2:5" ht="35.25" customHeight="1" x14ac:dyDescent="0.2">
      <c r="B101" s="134"/>
      <c r="C101" s="115"/>
      <c r="D101" s="137" t="s">
        <v>536</v>
      </c>
      <c r="E101" s="7"/>
    </row>
    <row r="102" spans="2:5" ht="35.25" customHeight="1" x14ac:dyDescent="0.2">
      <c r="B102" s="134"/>
      <c r="C102" s="115"/>
      <c r="D102" s="137" t="s">
        <v>537</v>
      </c>
      <c r="E102" s="7"/>
    </row>
    <row r="103" spans="2:5" ht="35.25" customHeight="1" x14ac:dyDescent="0.2">
      <c r="B103" s="134"/>
      <c r="C103" s="115"/>
      <c r="D103" s="137" t="s">
        <v>538</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531</v>
      </c>
      <c r="E111" s="27"/>
    </row>
    <row r="112" spans="2:5" s="5" customFormat="1" ht="35.25" customHeight="1" x14ac:dyDescent="0.2">
      <c r="B112" s="134"/>
      <c r="C112" s="115"/>
      <c r="D112" s="137" t="s">
        <v>532</v>
      </c>
      <c r="E112" s="27"/>
    </row>
    <row r="113" spans="2:5" s="5" customFormat="1" ht="35.25" customHeight="1" x14ac:dyDescent="0.2">
      <c r="B113" s="134"/>
      <c r="C113" s="115"/>
      <c r="D113" s="137" t="s">
        <v>533</v>
      </c>
      <c r="E113" s="27"/>
    </row>
    <row r="114" spans="2:5" s="5" customFormat="1" ht="35.25" customHeight="1" x14ac:dyDescent="0.2">
      <c r="B114" s="134"/>
      <c r="C114" s="115"/>
      <c r="D114" s="137" t="s">
        <v>534</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531</v>
      </c>
      <c r="E123" s="7"/>
    </row>
    <row r="124" spans="2:5" s="5" customFormat="1" ht="35.25" customHeight="1" x14ac:dyDescent="0.2">
      <c r="B124" s="134"/>
      <c r="C124" s="113"/>
      <c r="D124" s="137" t="s">
        <v>532</v>
      </c>
      <c r="E124" s="27"/>
    </row>
    <row r="125" spans="2:5" s="5" customFormat="1" ht="35.25" customHeight="1" x14ac:dyDescent="0.2">
      <c r="B125" s="134"/>
      <c r="C125" s="113"/>
      <c r="D125" s="137" t="s">
        <v>533</v>
      </c>
      <c r="E125" s="27"/>
    </row>
    <row r="126" spans="2:5" s="5" customFormat="1" ht="35.25" customHeight="1" x14ac:dyDescent="0.2">
      <c r="B126" s="134"/>
      <c r="C126" s="113"/>
      <c r="D126" s="137" t="s">
        <v>534</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531</v>
      </c>
      <c r="E134" s="27"/>
    </row>
    <row r="135" spans="2:5" s="5" customFormat="1" ht="35.25" customHeight="1" x14ac:dyDescent="0.2">
      <c r="B135" s="134"/>
      <c r="C135" s="113"/>
      <c r="D135" s="137" t="s">
        <v>532</v>
      </c>
      <c r="E135" s="27"/>
    </row>
    <row r="136" spans="2:5" s="5" customFormat="1" ht="35.25" customHeight="1" x14ac:dyDescent="0.2">
      <c r="B136" s="134"/>
      <c r="C136" s="113"/>
      <c r="D136" s="137" t="s">
        <v>533</v>
      </c>
      <c r="E136" s="27"/>
    </row>
    <row r="137" spans="2:5" s="5" customFormat="1" ht="35.25" customHeight="1" x14ac:dyDescent="0.2">
      <c r="B137" s="134"/>
      <c r="C137" s="113"/>
      <c r="D137" s="137" t="s">
        <v>534</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532</v>
      </c>
      <c r="E145" s="27"/>
    </row>
    <row r="146" spans="2:5" s="5" customFormat="1" ht="35.25" customHeight="1" x14ac:dyDescent="0.2">
      <c r="B146" s="134"/>
      <c r="C146" s="113"/>
      <c r="D146" s="137" t="s">
        <v>533</v>
      </c>
      <c r="E146" s="27"/>
    </row>
    <row r="147" spans="2:5" s="5" customFormat="1" ht="35.25" customHeight="1" x14ac:dyDescent="0.2">
      <c r="B147" s="134"/>
      <c r="C147" s="113"/>
      <c r="D147" s="137" t="s">
        <v>534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532</v>
      </c>
      <c r="E167" s="27"/>
    </row>
    <row r="168" spans="2:5" s="5" customFormat="1" ht="35.25" customHeight="1" x14ac:dyDescent="0.2">
      <c r="B168" s="134"/>
      <c r="C168" s="113"/>
      <c r="D168" s="137" t="s">
        <v>533</v>
      </c>
      <c r="E168" s="27"/>
    </row>
    <row r="169" spans="2:5" s="5" customFormat="1" ht="35.25" customHeight="1" x14ac:dyDescent="0.2">
      <c r="B169" s="134"/>
      <c r="C169" s="113"/>
      <c r="D169" s="137" t="s">
        <v>534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532</v>
      </c>
      <c r="E178" s="27"/>
    </row>
    <row r="179" spans="2:5" s="5" customFormat="1" ht="35.25" customHeight="1" x14ac:dyDescent="0.2">
      <c r="B179" s="134"/>
      <c r="C179" s="113"/>
      <c r="D179" s="137" t="s">
        <v>533</v>
      </c>
      <c r="E179" s="27"/>
    </row>
    <row r="180" spans="2:5" s="5" customFormat="1" ht="35.25" customHeight="1" x14ac:dyDescent="0.2">
      <c r="B180" s="134"/>
      <c r="C180" s="113"/>
      <c r="D180" s="137" t="s">
        <v>534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531</v>
      </c>
      <c r="E200" s="27"/>
    </row>
    <row r="201" spans="2:5" s="5" customFormat="1" ht="35.25" customHeight="1" x14ac:dyDescent="0.2">
      <c r="B201" s="134"/>
      <c r="C201" s="113"/>
      <c r="D201" s="137" t="s">
        <v>532</v>
      </c>
      <c r="E201" s="27"/>
    </row>
    <row r="202" spans="2:5" s="5" customFormat="1" ht="35.25" customHeight="1" x14ac:dyDescent="0.2">
      <c r="B202" s="134"/>
      <c r="C202" s="113"/>
      <c r="D202" s="137" t="s">
        <v>533</v>
      </c>
      <c r="E202" s="27"/>
    </row>
    <row r="203" spans="2:5" s="5" customFormat="1" ht="35.25" customHeight="1" x14ac:dyDescent="0.2">
      <c r="B203" s="134"/>
      <c r="C203" s="113"/>
      <c r="D203" s="137" t="s">
        <v>534</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2016-07-28T17:33:46Z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