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F11" i="16" l="1"/>
  <c r="H4" i="16"/>
  <c r="G4" i="16"/>
  <c r="F4" i="16"/>
  <c r="E4" i="16"/>
  <c r="D4" i="16"/>
  <c r="C4" i="16"/>
  <c r="L58" i="10"/>
  <c r="G58" i="10"/>
  <c r="AB53" i="10"/>
  <c r="X53" i="10"/>
  <c r="T53" i="10"/>
  <c r="AB52" i="10"/>
  <c r="X52" i="10"/>
  <c r="T52" i="10"/>
  <c r="P52" i="10"/>
  <c r="AB51" i="10"/>
  <c r="X51" i="10"/>
  <c r="T51" i="10"/>
  <c r="AB48" i="10"/>
  <c r="X48" i="10"/>
  <c r="T48" i="10"/>
  <c r="AB47" i="10"/>
  <c r="X47" i="10"/>
  <c r="T47" i="10"/>
  <c r="AB46" i="10"/>
  <c r="AA46" i="10"/>
  <c r="Z46" i="10"/>
  <c r="Y46" i="10"/>
  <c r="X46" i="10"/>
  <c r="W46" i="10"/>
  <c r="V46" i="10"/>
  <c r="U46" i="10"/>
  <c r="T46" i="10"/>
  <c r="S46" i="10"/>
  <c r="R46" i="10"/>
  <c r="Q46" i="10"/>
  <c r="O45" i="10"/>
  <c r="N45" i="10"/>
  <c r="M45" i="10"/>
  <c r="AB42" i="10"/>
  <c r="X42" i="10"/>
  <c r="T42" i="10"/>
  <c r="P42" i="10"/>
  <c r="AB41" i="10"/>
  <c r="X41" i="10"/>
  <c r="T41" i="10"/>
  <c r="P41" i="10"/>
  <c r="K41" i="10"/>
  <c r="F41" i="10"/>
  <c r="AB39" i="10"/>
  <c r="X39" i="10"/>
  <c r="T39" i="10"/>
  <c r="P39" i="10"/>
  <c r="AB38" i="10"/>
  <c r="AA38" i="10"/>
  <c r="X38" i="10"/>
  <c r="W38" i="10"/>
  <c r="T38" i="10"/>
  <c r="S38" i="10"/>
  <c r="P38" i="10"/>
  <c r="O38" i="10"/>
  <c r="L32" i="10"/>
  <c r="L27" i="10"/>
  <c r="L24" i="10"/>
  <c r="L23" i="10"/>
  <c r="L20" i="10"/>
  <c r="L19" i="10"/>
  <c r="L22" i="10" s="1"/>
  <c r="AB17" i="10"/>
  <c r="AA17" i="10"/>
  <c r="Z17" i="10"/>
  <c r="Y17" i="10"/>
  <c r="X17" i="10"/>
  <c r="W17" i="10"/>
  <c r="V17" i="10"/>
  <c r="U17" i="10"/>
  <c r="T17" i="10"/>
  <c r="S17" i="10"/>
  <c r="R17" i="10"/>
  <c r="Q17" i="10"/>
  <c r="P17" i="10"/>
  <c r="O17" i="10"/>
  <c r="N17" i="10"/>
  <c r="M17" i="10"/>
  <c r="P12" i="10" s="1"/>
  <c r="P45" i="10" s="1"/>
  <c r="AB16" i="10"/>
  <c r="AA16" i="10"/>
  <c r="X16" i="10"/>
  <c r="W16" i="10"/>
  <c r="T16" i="10"/>
  <c r="S16" i="10"/>
  <c r="P16" i="10"/>
  <c r="O16" i="10"/>
  <c r="L16" i="10"/>
  <c r="K16" i="10"/>
  <c r="J16" i="10"/>
  <c r="G16" i="10"/>
  <c r="F16" i="10"/>
  <c r="E16" i="10"/>
  <c r="AB15" i="10"/>
  <c r="AA15" i="10"/>
  <c r="X15" i="10"/>
  <c r="W15" i="10"/>
  <c r="T15" i="10"/>
  <c r="Q13" i="10" s="1"/>
  <c r="S15" i="10"/>
  <c r="P15" i="10"/>
  <c r="O15" i="10"/>
  <c r="L15" i="10"/>
  <c r="AB13" i="10"/>
  <c r="AA13" i="10"/>
  <c r="Z13" i="10"/>
  <c r="Y13" i="10"/>
  <c r="W13" i="10"/>
  <c r="S13" i="10"/>
  <c r="R13" i="10"/>
  <c r="O12" i="10"/>
  <c r="N12" i="10"/>
  <c r="M12" i="10"/>
  <c r="K11" i="10"/>
  <c r="J11" i="10"/>
  <c r="F11" i="10"/>
  <c r="E11" i="10"/>
  <c r="L10" i="10"/>
  <c r="K10" i="10"/>
  <c r="J10" i="10"/>
  <c r="G10" i="10"/>
  <c r="F10" i="10"/>
  <c r="E10" i="10"/>
  <c r="G9" i="10"/>
  <c r="F9" i="10"/>
  <c r="E9" i="10"/>
  <c r="G8" i="10"/>
  <c r="F8" i="10"/>
  <c r="E8" i="10"/>
  <c r="AB7" i="10"/>
  <c r="AA7" i="10"/>
  <c r="X7" i="10"/>
  <c r="W7" i="10"/>
  <c r="T7" i="10"/>
  <c r="S7" i="10"/>
  <c r="P7" i="10"/>
  <c r="O7" i="10"/>
  <c r="L7" i="10"/>
  <c r="AB6" i="10"/>
  <c r="AA6" i="10"/>
  <c r="X6" i="10"/>
  <c r="W6" i="10"/>
  <c r="T6" i="10"/>
  <c r="S6" i="10"/>
  <c r="P6" i="10"/>
  <c r="O6" i="10"/>
  <c r="L6" i="10"/>
  <c r="K6" i="10"/>
  <c r="J6" i="10"/>
  <c r="G6" i="10"/>
  <c r="F6" i="10"/>
  <c r="E6" i="10"/>
  <c r="AU55" i="18"/>
  <c r="AT55" i="18"/>
  <c r="AS55" i="18"/>
  <c r="AC55" i="18"/>
  <c r="AB55" i="18"/>
  <c r="AA55" i="18"/>
  <c r="Z55" i="18"/>
  <c r="Y55" i="18"/>
  <c r="X55" i="18"/>
  <c r="W55" i="18"/>
  <c r="V55" i="18"/>
  <c r="U55" i="18"/>
  <c r="T55" i="18"/>
  <c r="S55" i="18"/>
  <c r="R55" i="18"/>
  <c r="Q55" i="18"/>
  <c r="P55" i="18"/>
  <c r="O55" i="18"/>
  <c r="N55" i="18"/>
  <c r="M55" i="18"/>
  <c r="L55" i="18"/>
  <c r="L22" i="4" s="1"/>
  <c r="K55" i="18"/>
  <c r="K22" i="4" s="1"/>
  <c r="J55" i="18"/>
  <c r="I55" i="18"/>
  <c r="H55" i="18"/>
  <c r="G55" i="18"/>
  <c r="F55" i="18"/>
  <c r="F22" i="4" s="1"/>
  <c r="E55" i="18"/>
  <c r="E22" i="4" s="1"/>
  <c r="D55" i="18"/>
  <c r="AU54" i="18"/>
  <c r="AU12" i="4" s="1"/>
  <c r="AT54" i="18"/>
  <c r="AS54" i="18"/>
  <c r="AS12" i="4" s="1"/>
  <c r="AC54" i="18"/>
  <c r="AC12" i="4" s="1"/>
  <c r="AB54" i="18"/>
  <c r="AB12" i="4" s="1"/>
  <c r="AA54" i="18"/>
  <c r="AA12" i="4" s="1"/>
  <c r="Z54" i="18"/>
  <c r="Z12" i="4" s="1"/>
  <c r="Y54" i="18"/>
  <c r="Y12" i="4" s="1"/>
  <c r="X54" i="18"/>
  <c r="W54" i="18"/>
  <c r="W12" i="4" s="1"/>
  <c r="V54" i="18"/>
  <c r="V12" i="4" s="1"/>
  <c r="U54" i="18"/>
  <c r="U12" i="4" s="1"/>
  <c r="T54" i="18"/>
  <c r="T12" i="4" s="1"/>
  <c r="S54" i="18"/>
  <c r="R54" i="18"/>
  <c r="R12" i="4" s="1"/>
  <c r="Q54" i="18"/>
  <c r="Q12" i="4" s="1"/>
  <c r="P54" i="18"/>
  <c r="P12" i="4" s="1"/>
  <c r="O54" i="18"/>
  <c r="N54" i="18"/>
  <c r="M54" i="18"/>
  <c r="M12" i="4" s="1"/>
  <c r="L54" i="18"/>
  <c r="L12" i="4" s="1"/>
  <c r="K54" i="18"/>
  <c r="K12" i="4" s="1"/>
  <c r="J54" i="18"/>
  <c r="J12" i="4" s="1"/>
  <c r="I54" i="18"/>
  <c r="H54" i="18"/>
  <c r="H12" i="4" s="1"/>
  <c r="G54" i="18"/>
  <c r="F54" i="18"/>
  <c r="E54" i="18"/>
  <c r="E12" i="4" s="1"/>
  <c r="D54" i="18"/>
  <c r="AV60" i="4"/>
  <c r="AU60" i="4"/>
  <c r="AT60" i="4"/>
  <c r="AS60" i="4"/>
  <c r="AC60" i="4"/>
  <c r="AB60" i="4"/>
  <c r="AA60" i="4"/>
  <c r="Z60" i="4"/>
  <c r="Y60" i="4"/>
  <c r="X60" i="4"/>
  <c r="W60" i="4"/>
  <c r="V60" i="4"/>
  <c r="U60" i="4"/>
  <c r="T60" i="4"/>
  <c r="S60" i="4"/>
  <c r="R60" i="4"/>
  <c r="Q60" i="4"/>
  <c r="P60" i="4"/>
  <c r="O60" i="4"/>
  <c r="N60" i="4"/>
  <c r="M60" i="4"/>
  <c r="L60" i="4"/>
  <c r="K60" i="4"/>
  <c r="J60" i="4"/>
  <c r="I60" i="4"/>
  <c r="H60" i="4"/>
  <c r="G60" i="4"/>
  <c r="F60" i="4"/>
  <c r="E60" i="4"/>
  <c r="D60" i="4"/>
  <c r="AU22" i="4"/>
  <c r="AT22" i="4"/>
  <c r="AS22" i="4"/>
  <c r="AC22" i="4"/>
  <c r="AB22" i="4"/>
  <c r="AA22" i="4"/>
  <c r="Z22" i="4"/>
  <c r="Y22" i="4"/>
  <c r="X22" i="4"/>
  <c r="W22" i="4"/>
  <c r="V22" i="4"/>
  <c r="U22" i="4"/>
  <c r="T22" i="4"/>
  <c r="S22" i="4"/>
  <c r="R22" i="4"/>
  <c r="Q22" i="4"/>
  <c r="P22" i="4"/>
  <c r="O22" i="4"/>
  <c r="N22" i="4"/>
  <c r="M22" i="4"/>
  <c r="J22" i="4"/>
  <c r="I22" i="4"/>
  <c r="H22" i="4"/>
  <c r="G22" i="4"/>
  <c r="D22" i="4"/>
  <c r="AT12" i="4"/>
  <c r="X12" i="4"/>
  <c r="S12" i="4"/>
  <c r="O12" i="4"/>
  <c r="N12" i="4"/>
  <c r="I12" i="4"/>
  <c r="G12" i="4"/>
  <c r="F12" i="4"/>
  <c r="D12" i="4"/>
  <c r="AU5" i="4"/>
  <c r="AT5" i="4"/>
  <c r="AS5" i="4"/>
  <c r="AC5" i="4"/>
  <c r="AB5" i="4"/>
  <c r="AA5" i="4"/>
  <c r="Z5" i="4"/>
  <c r="Y5" i="4"/>
  <c r="X5" i="4"/>
  <c r="W5" i="4"/>
  <c r="V5" i="4"/>
  <c r="U5" i="4"/>
  <c r="T5" i="4"/>
  <c r="S5" i="4"/>
  <c r="R5" i="4"/>
  <c r="Q5" i="4"/>
  <c r="P5" i="4"/>
  <c r="O5" i="4"/>
  <c r="N5" i="4"/>
  <c r="M5" i="4"/>
  <c r="L5" i="4"/>
  <c r="K5" i="4"/>
  <c r="J15" i="10" s="1"/>
  <c r="J5" i="4"/>
  <c r="I5" i="4"/>
  <c r="G15" i="10" s="1"/>
  <c r="H5" i="4"/>
  <c r="G5" i="4"/>
  <c r="F5" i="4"/>
  <c r="E5" i="4"/>
  <c r="E15" i="10" s="1"/>
  <c r="D5" i="4"/>
  <c r="G7" i="10" l="1"/>
  <c r="G20" i="10" s="1"/>
  <c r="F15" i="10"/>
  <c r="K15" i="10"/>
  <c r="E7" i="10"/>
  <c r="G27" i="10"/>
  <c r="J7" i="10"/>
  <c r="P47" i="10"/>
  <c r="P48" i="10" s="1"/>
  <c r="P51" i="10" s="1"/>
  <c r="P53" i="10" s="1"/>
  <c r="E11" i="16" s="1"/>
  <c r="G24" i="10"/>
  <c r="G32" i="10"/>
  <c r="G19" i="10"/>
  <c r="G23" i="10"/>
  <c r="L21" i="10"/>
  <c r="L26" i="10" s="1"/>
  <c r="L25" i="10" s="1"/>
  <c r="L28" i="10" s="1"/>
  <c r="L30" i="10"/>
  <c r="L31" i="10" s="1"/>
  <c r="L29" i="10" s="1"/>
  <c r="L33" i="10" s="1"/>
  <c r="L34" i="10" s="1"/>
  <c r="X13" i="10"/>
  <c r="T13" i="10"/>
  <c r="V13" i="10"/>
  <c r="U13" i="10"/>
  <c r="G22" i="10" l="1"/>
  <c r="F7" i="10"/>
  <c r="C12" i="10" s="1"/>
  <c r="E38" i="10"/>
  <c r="C17" i="10"/>
  <c r="D12" i="10"/>
  <c r="D17" i="10"/>
  <c r="D45" i="10" s="1"/>
  <c r="E12" i="10"/>
  <c r="F17" i="10"/>
  <c r="K7" i="10"/>
  <c r="H17" i="10" s="1"/>
  <c r="J38" i="10"/>
  <c r="I17" i="10"/>
  <c r="K17" i="10"/>
  <c r="E17" i="10"/>
  <c r="G30" i="10" l="1"/>
  <c r="G31" i="10" s="1"/>
  <c r="G29" i="10" s="1"/>
  <c r="G33" i="10" s="1"/>
  <c r="G34" i="10" s="1"/>
  <c r="G21" i="10"/>
  <c r="G26" i="10" s="1"/>
  <c r="G25" i="10" s="1"/>
  <c r="G28" i="10" s="1"/>
  <c r="K38" i="10"/>
  <c r="C45" i="10"/>
  <c r="F12" i="10"/>
  <c r="E45" i="10"/>
  <c r="F38" i="10"/>
  <c r="I12" i="10"/>
  <c r="I45" i="10" s="1"/>
  <c r="J12" i="10"/>
  <c r="H12" i="10"/>
  <c r="H45" i="10" s="1"/>
  <c r="J17" i="10"/>
  <c r="J45" i="10" s="1"/>
  <c r="F45" i="10" l="1"/>
  <c r="K52" i="10"/>
  <c r="K42" i="10"/>
  <c r="K39" i="10"/>
  <c r="F39" i="10"/>
  <c r="F42" i="10" s="1"/>
  <c r="F47" i="10" s="1"/>
  <c r="F48" i="10" s="1"/>
  <c r="F51" i="10" s="1"/>
  <c r="F53" i="10" s="1"/>
  <c r="C11" i="16" s="1"/>
  <c r="F52" i="10"/>
  <c r="K12" i="10"/>
  <c r="K45" i="10" s="1"/>
  <c r="K47" i="10" s="1"/>
  <c r="K48" i="10" s="1"/>
  <c r="K51" i="10" s="1"/>
  <c r="K53" i="10" l="1"/>
  <c r="D11" i="16" s="1"/>
</calcChain>
</file>

<file path=xl/sharedStrings.xml><?xml version="1.0" encoding="utf-8"?>
<sst xmlns="http://schemas.openxmlformats.org/spreadsheetml/2006/main" count="573" uniqueCount="512">
  <si>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</si>
  <si>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</si>
  <si>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</si>
  <si>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</si>
  <si>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</si>
  <si>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</si>
  <si>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</si>
  <si>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</si>
  <si>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</si>
  <si>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</si>
  <si>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</si>
  <si>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</si>
  <si>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</si>
  <si>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</si>
  <si>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</si>
  <si>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</si>
  <si>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</si>
  <si>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</si>
  <si>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</si>
  <si>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</si>
  <si>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</si>
  <si>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</si>
  <si>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</si>
  <si>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</si>
  <si>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</si>
  <si>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</si>
  <si>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</si>
  <si>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</si>
  <si>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</si>
  <si>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</si>
  <si>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</si>
  <si>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</si>
  <si>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</si>
  <si>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</si>
  <si>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</si>
  <si>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</si>
  <si>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</si>
  <si>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</si>
  <si>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</si>
  <si>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</si>
  <si>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</si>
  <si>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</si>
  <si>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</si>
  <si>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</si>
  <si>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</si>
  <si>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</si>
  <si>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</si>
  <si>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</si>
  <si>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</si>
  <si>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</si>
  <si>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</si>
  <si>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</si>
  <si>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</si>
  <si>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</si>
  <si>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</si>
  <si>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</si>
  <si>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</si>
  <si>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</si>
  <si>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</si>
  <si>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</si>
  <si>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</si>
  <si>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</si>
  <si>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</si>
  <si>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</si>
  <si>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</si>
  <si>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</si>
  <si>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</si>
  <si>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</si>
  <si>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</si>
  <si>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</si>
  <si>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</si>
  <si>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</si>
  <si>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</si>
  <si>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</si>
  <si>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</si>
  <si>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</si>
  <si>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</si>
  <si>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</si>
  <si>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</si>
  <si>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</si>
  <si>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</si>
  <si>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</si>
  <si>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</si>
  <si>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</si>
  <si>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</si>
  <si>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</si>
  <si>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</si>
  <si>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</si>
  <si>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</si>
  <si>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</si>
  <si>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</si>
  <si>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</si>
  <si>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</si>
  <si>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</si>
  <si>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</si>
  <si>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</si>
  <si>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</si>
  <si>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</si>
  <si>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</si>
  <si>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</si>
  <si>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</si>
  <si>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</si>
  <si>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</si>
  <si>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</si>
  <si>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</si>
  <si>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</si>
  <si>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</si>
  <si>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</si>
  <si>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</si>
  <si>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</si>
  <si>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</si>
  <si>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</si>
  <si>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</si>
  <si>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</si>
  <si>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</si>
  <si>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</si>
  <si>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</si>
  <si>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</si>
  <si>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</si>
  <si>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</si>
  <si>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</si>
  <si>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</si>
  <si>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</si>
  <si>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</si>
  <si>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</si>
  <si>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</si>
  <si>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</si>
  <si>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</si>
  <si>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</si>
  <si>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</si>
  <si>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</si>
  <si>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</si>
  <si>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</si>
  <si>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</si>
  <si>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</si>
  <si>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</si>
  <si>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</si>
  <si>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</si>
  <si>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</si>
  <si>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</si>
  <si>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</si>
  <si>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</si>
  <si>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</si>
  <si>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</si>
  <si>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</si>
  <si>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</si>
  <si>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</si>
  <si>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</si>
  <si>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</si>
  <si>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</si>
  <si>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</si>
  <si>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</si>
  <si>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</si>
  <si>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</si>
  <si>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</si>
  <si>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</si>
  <si>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</si>
  <si>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</si>
  <si>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</si>
  <si>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</si>
  <si>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</si>
  <si>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</si>
  <si>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</si>
  <si>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</si>
  <si>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</si>
  <si>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</si>
  <si>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</si>
  <si>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</si>
  <si>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</si>
  <si>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</si>
  <si>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</si>
  <si>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</si>
  <si>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</si>
  <si>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</si>
  <si>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</si>
  <si>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</si>
  <si>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</si>
  <si>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</si>
  <si>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</si>
  <si>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</si>
  <si>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</si>
  <si>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</si>
  <si>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</si>
  <si>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</si>
  <si>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</si>
  <si>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</si>
  <si>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</si>
  <si>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</si>
  <si>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</si>
  <si>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</si>
  <si>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</si>
  <si>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</si>
  <si>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</si>
  <si>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</si>
  <si>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</si>
  <si>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</si>
  <si>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</si>
  <si>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</si>
  <si>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</si>
  <si>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</si>
  <si>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</si>
  <si>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</si>
  <si>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</si>
  <si>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</si>
  <si>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</si>
  <si>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</si>
  <si>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</si>
  <si>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</si>
  <si>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</si>
  <si>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</si>
  <si>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</si>
  <si>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</si>
  <si>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</si>
  <si>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</si>
  <si>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</si>
  <si>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</si>
  <si>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</si>
  <si>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</si>
  <si>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</si>
  <si>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</si>
  <si>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</si>
  <si>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</si>
  <si>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</si>
  <si>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</si>
  <si>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</si>
  <si>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</si>
  <si>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</si>
  <si>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</si>
  <si>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</si>
  <si>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</si>
  <si>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</si>
  <si>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</si>
  <si>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</si>
  <si>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</si>
  <si>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</si>
  <si>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</si>
  <si>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</si>
  <si>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</si>
  <si>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</si>
  <si>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</si>
  <si>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</si>
  <si>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</si>
  <si>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</si>
  <si>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</si>
  <si>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</si>
  <si>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</si>
  <si>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</si>
  <si>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</si>
  <si>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</si>
  <si>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</si>
  <si>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</si>
  <si>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</si>
  <si>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</si>
  <si>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</si>
  <si>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</si>
  <si>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</si>
  <si>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</si>
  <si>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</si>
  <si>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</si>
  <si>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</si>
  <si>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</si>
  <si>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</si>
  <si>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</si>
  <si>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</si>
  <si>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</si>
  <si>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</si>
  <si>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</si>
  <si>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</si>
  <si>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</si>
  <si>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</si>
  <si>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</si>
  <si>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</si>
  <si>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</si>
  <si>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</si>
  <si>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</si>
  <si>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</si>
  <si>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</si>
  <si>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</si>
  <si>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</si>
  <si>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</si>
  <si>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</si>
  <si>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</si>
  <si>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</si>
  <si>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</si>
  <si>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</si>
  <si>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</si>
  <si>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</si>
  <si>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</si>
  <si>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</si>
  <si>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</si>
  <si>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</si>
  <si>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</si>
  <si>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</si>
  <si>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</si>
  <si>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</si>
  <si>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</si>
  <si>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</si>
  <si>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</si>
  <si>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</si>
  <si>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</si>
  <si>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</si>
  <si>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</si>
  <si>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</si>
  <si>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</si>
  <si>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</si>
  <si>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</si>
  <si>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</si>
  <si>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</si>
  <si>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</si>
  <si>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</si>
  <si>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</si>
  <si>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</si>
  <si>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</si>
  <si>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</si>
  <si>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</si>
  <si>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</si>
  <si>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</si>
  <si>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</si>
  <si>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</si>
  <si>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</si>
  <si>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</si>
  <si>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</si>
  <si>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</si>
  <si>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</si>
  <si>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</si>
  <si>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</si>
  <si>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</si>
  <si>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</si>
  <si>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</si>
  <si>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</si>
  <si>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</si>
  <si>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</si>
  <si>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</si>
  <si>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</si>
  <si>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</si>
  <si>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</si>
  <si>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</si>
  <si>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</si>
  <si>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</si>
  <si>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</si>
  <si>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</si>
  <si>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</si>
  <si>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</si>
  <si>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</si>
  <si>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</si>
  <si>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</si>
  <si>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</si>
  <si>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</si>
  <si>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</si>
  <si>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</si>
  <si>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</si>
  <si>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</si>
  <si>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</si>
  <si>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</si>
  <si>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</si>
  <si>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</si>
  <si>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</si>
  <si>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</si>
  <si>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</si>
  <si>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</si>
  <si>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</si>
  <si>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</si>
  <si>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</si>
  <si>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</si>
  <si>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</si>
  <si>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</si>
  <si>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</si>
  <si>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</si>
  <si>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</si>
  <si>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</si>
  <si>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</si>
  <si>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</si>
  <si>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</si>
  <si>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</si>
  <si>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</si>
  <si>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</si>
  <si>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</si>
  <si>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</si>
  <si>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</si>
  <si>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</si>
  <si>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</si>
  <si>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</si>
  <si>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</si>
  <si>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</si>
  <si>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</si>
  <si>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</si>
  <si>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</si>
  <si>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</si>
  <si>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</si>
  <si>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</si>
  <si>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</si>
  <si>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</si>
  <si>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</si>
  <si>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</si>
  <si>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</si>
  <si>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</si>
  <si>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</si>
  <si>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</si>
  <si>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</si>
  <si>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</si>
  <si>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</si>
  <si>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</si>
  <si>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</si>
  <si>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</si>
  <si>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</si>
  <si>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</si>
  <si>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</si>
  <si>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</si>
  <si>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</si>
  <si>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</si>
  <si>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</si>
  <si>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</si>
  <si>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</si>
  <si>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</si>
  <si>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</si>
  <si>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</si>
  <si>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</si>
  <si>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</si>
  <si>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</si>
  <si>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</si>
  <si>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</si>
  <si>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</si>
  <si>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</si>
  <si>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</si>
  <si>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</si>
  <si>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</si>
  <si>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</si>
  <si>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</si>
  <si>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</si>
  <si>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</si>
  <si>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</si>
  <si>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</si>
  <si>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</si>
  <si>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</si>
  <si>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</si>
  <si>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</si>
  <si>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</si>
  <si>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</si>
  <si>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</si>
  <si>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</si>
  <si>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</si>
  <si>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</si>
  <si>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</si>
  <si>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</si>
  <si>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</si>
  <si>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</si>
  <si>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</si>
  <si>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</si>
  <si>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</si>
  <si>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</si>
  <si>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</si>
  <si>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</si>
  <si>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</si>
  <si>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</si>
  <si>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</si>
  <si>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</si>
  <si>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</si>
  <si>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</si>
  <si>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</si>
  <si>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</si>
  <si>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</si>
  <si>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</si>
  <si>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</si>
  <si>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</si>
  <si>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</si>
  <si>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</si>
  <si>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</si>
  <si>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</si>
  <si>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</si>
  <si>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</si>
  <si>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</si>
  <si>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</si>
  <si>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</si>
  <si>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</si>
  <si>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</si>
  <si>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</si>
  <si>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</si>
  <si>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</si>
  <si>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</si>
  <si>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</si>
  <si>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</si>
  <si>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</si>
  <si>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</si>
  <si>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</si>
  <si>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</si>
  <si>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</si>
  <si>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</si>
  <si>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</si>
  <si>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</si>
  <si>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</si>
  <si>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</si>
  <si>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</si>
  <si>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</si>
  <si>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</si>
  <si>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</si>
  <si>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</si>
  <si>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Humana Insurance Company</t>
  </si>
  <si>
    <t>HUMANA GRP</t>
  </si>
  <si>
    <t>Humana</t>
  </si>
  <si>
    <t>119</t>
  </si>
  <si>
    <t>2015</t>
  </si>
  <si>
    <t>1100 Employers Boulevard DePere, WI 54115</t>
  </si>
  <si>
    <t>391263473</t>
  </si>
  <si>
    <t>073288</t>
  </si>
  <si>
    <t>73288</t>
  </si>
  <si>
    <t>68303</t>
  </si>
  <si>
    <t>219</t>
  </si>
  <si>
    <t>Humana Employers Health Plan of Georgia, Inc.</t>
  </si>
  <si>
    <t>Humana Medical Plan, Inc.</t>
  </si>
  <si>
    <t>Humana Health Insurance Company of Florida, Inc.</t>
  </si>
  <si>
    <t>Humana Health Plan, Inc.</t>
  </si>
  <si>
    <t>Humana Insurance of Puerto Rico, Inc.</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</si>
</sst>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506</v>
      </c>
      <c r="B4" s="147" t="s">
        <v>45</v>
      </c>
      <c r="C4" s="480" t="s">
        <v>496</v>
      </c>
    </row>
    <row r="5" spans="1:6" x14ac:dyDescent="0.2">
      <c r="B5" s="147" t="s">
        <v>215</v>
      </c>
      <c r="C5" s="480" t="s">
        <v>497</v>
      </c>
    </row>
    <row r="6" spans="1:6" x14ac:dyDescent="0.2">
      <c r="B6" s="147" t="s">
        <v>216</v>
      </c>
      <c r="C6" s="480" t="s">
        <v>502</v>
      </c>
    </row>
    <row r="7" spans="1:6" x14ac:dyDescent="0.2">
      <c r="B7" s="147" t="s">
        <v>128</v>
      </c>
      <c r="C7" s="480" t="s">
        <v>503</v>
      </c>
    </row>
    <row r="8" spans="1:6" x14ac:dyDescent="0.2">
      <c r="B8" s="147" t="s">
        <v>36</v>
      </c>
      <c r="C8" s="480" t="s">
        <v>499</v>
      </c>
    </row>
    <row r="9" spans="1:6" x14ac:dyDescent="0.2">
      <c r="B9" s="147" t="s">
        <v>41</v>
      </c>
      <c r="C9" s="480" t="s">
        <v>504</v>
      </c>
    </row>
    <row r="10" spans="1:6" x14ac:dyDescent="0.2">
      <c r="B10" s="147" t="s">
        <v>58</v>
      </c>
      <c r="C10" s="480" t="s">
        <v>498</v>
      </c>
    </row>
    <row r="11" spans="1:6" x14ac:dyDescent="0.2">
      <c r="B11" s="147" t="s">
        <v>349</v>
      </c>
      <c r="C11" s="480" t="s">
        <v>505</v>
      </c>
    </row>
    <row r="12" spans="1:6" x14ac:dyDescent="0.2">
      <c r="B12" s="147" t="s">
        <v>35</v>
      </c>
      <c r="C12" s="480" t="s">
        <v>154</v>
      </c>
    </row>
    <row r="13" spans="1:6" x14ac:dyDescent="0.2">
      <c r="B13" s="147" t="s">
        <v>50</v>
      </c>
      <c r="C13" s="480" t="s">
        <v>192</v>
      </c>
    </row>
    <row r="14" spans="1:6" x14ac:dyDescent="0.2">
      <c r="B14" s="147" t="s">
        <v>51</v>
      </c>
      <c r="C14" s="480" t="s">
        <v>501</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500</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f>SUM('Pt 2 Premium and Claims'!D$5,'Pt 2 Premium and Claims'!D$6,-'Pt 2 Premium and Claims'!D$7,-'Pt 2 Premium and Claims'!D$13,'Pt 2 Premium and Claims'!D$14:'Pt 2 Premium and Claims'!D$17)</f>
        <v>39996601</v>
      </c>
      <c r="E5" s="213">
        <f>SUM('Pt 2 Premium and Claims'!E$5,'Pt 2 Premium and Claims'!E$6,-'Pt 2 Premium and Claims'!E$7,-'Pt 2 Premium and Claims'!E$13,'Pt 2 Premium and Claims'!E$14:'Pt 2 Premium and Claims'!E$17)</f>
        <v>38421909.798041999</v>
      </c>
      <c r="F5" s="213">
        <f>SUM('Pt 2 Premium and Claims'!F$5,'Pt 2 Premium and Claims'!F$6,-'Pt 2 Premium and Claims'!F$7,-'Pt 2 Premium and Claims'!F$13,'Pt 2 Premium and Claims'!F$14:'Pt 2 Premium and Claims'!F$17)</f>
        <v>0</v>
      </c>
      <c r="G5" s="213">
        <f>SUM('Pt 2 Premium and Claims'!G$5,'Pt 2 Premium and Claims'!G$6,-'Pt 2 Premium and Claims'!G$7,-'Pt 2 Premium and Claims'!G$13,'Pt 2 Premium and Claims'!G$14:'Pt 2 Premium and Claims'!G$17)</f>
        <v>0</v>
      </c>
      <c r="H5" s="213">
        <f>SUM('Pt 2 Premium and Claims'!H$5,'Pt 2 Premium and Claims'!H$6,-'Pt 2 Premium and Claims'!H$7,-'Pt 2 Premium and Claims'!H$13,'Pt 2 Premium and Claims'!H$14:'Pt 2 Premium and Claims'!H$17)</f>
        <v>0</v>
      </c>
      <c r="I5" s="212">
        <f>SUM('Pt 2 Premium and Claims'!I$5,'Pt 2 Premium and Claims'!I$6,-'Pt 2 Premium and Claims'!I$7,-'Pt 2 Premium and Claims'!I$13,'Pt 2 Premium and Claims'!I$14:'Pt 2 Premium and Claims'!I$16)</f>
        <v>19805184</v>
      </c>
      <c r="J5" s="212">
        <f>SUM('Pt 2 Premium and Claims'!J$5,'Pt 2 Premium and Claims'!J$6,-'Pt 2 Premium and Claims'!J$7,-'Pt 2 Premium and Claims'!J$13,'Pt 2 Premium and Claims'!J$14,'Pt 2 Premium and Claims'!J$16:'Pt 2 Premium and Claims'!J$17)</f>
        <v>182370414</v>
      </c>
      <c r="K5" s="213">
        <f>SUM('Pt 2 Premium and Claims'!K$5,'Pt 2 Premium and Claims'!K$6,-'Pt 2 Premium and Claims'!K$7,-'Pt 2 Premium and Claims'!K$13,'Pt 2 Premium and Claims'!K$14,'Pt 2 Premium and Claims'!K$16:'Pt 2 Premium and Claims'!K$17)</f>
        <v>176557404.1152322</v>
      </c>
      <c r="L5" s="213">
        <f>SUM('Pt 2 Premium and Claims'!L$5,'Pt 2 Premium and Claims'!L$6,-'Pt 2 Premium and Claims'!L$7,-'Pt 2 Premium and Claims'!L$13,'Pt 2 Premium and Claims'!L$14,'Pt 2 Premium and Claims'!L$16:'Pt 2 Premium and Claims'!L$17)</f>
        <v>0</v>
      </c>
      <c r="M5" s="213">
        <f>SUM('Pt 2 Premium and Claims'!M$5,'Pt 2 Premium and Claims'!M$6,-'Pt 2 Premium and Claims'!M$7,-'Pt 2 Premium and Claims'!M$13,'Pt 2 Premium and Claims'!M$14,'Pt 2 Premium and Claims'!M$16:'Pt 2 Premium and Claims'!M$17)</f>
        <v>0</v>
      </c>
      <c r="N5" s="213">
        <f>SUM('Pt 2 Premium and Claims'!N$5,'Pt 2 Premium and Claims'!N$6,-'Pt 2 Premium and Claims'!N$7,-'Pt 2 Premium and Claims'!N$13,'Pt 2 Premium and Claims'!N$14,'Pt 2 Premium and Claims'!N$16:'Pt 2 Premium and Claims'!N$17)</f>
        <v>0</v>
      </c>
      <c r="O5" s="212">
        <f>SUM('Pt 2 Premium and Claims'!O$5,'Pt 2 Premium and Claims'!O$6,-'Pt 2 Premium and Claims'!O$7,-'Pt 2 Premium and Claims'!O$13,'Pt 2 Premium and Claims'!O$14,'Pt 2 Premium and Claims'!O$16)</f>
        <v>0</v>
      </c>
      <c r="P5" s="212">
        <f>SUM('Pt 2 Premium and Claims'!P$5,'Pt 2 Premium and Claims'!P$6,-'Pt 2 Premium and Claims'!P$7,-'Pt 2 Premium and Claims'!P$13,'Pt 2 Premium and Claims'!P$14)</f>
        <v>130022803</v>
      </c>
      <c r="Q5" s="213">
        <f>SUM('Pt 2 Premium and Claims'!Q$5,'Pt 2 Premium and Claims'!Q$6,-'Pt 2 Premium and Claims'!Q$7,-'Pt 2 Premium and Claims'!Q$13,'Pt 2 Premium and Claims'!Q$14)</f>
        <v>134556676.1160692</v>
      </c>
      <c r="R5" s="213">
        <f>SUM('Pt 2 Premium and Claims'!R$5,'Pt 2 Premium and Claims'!R$6,-'Pt 2 Premium and Claims'!R$7,-'Pt 2 Premium and Claims'!R$13,'Pt 2 Premium and Claims'!R$14)</f>
        <v>0</v>
      </c>
      <c r="S5" s="213">
        <f>SUM('Pt 2 Premium and Claims'!S$5,'Pt 2 Premium and Claims'!S$6,-'Pt 2 Premium and Claims'!S$7,-'Pt 2 Premium and Claims'!S$13,'Pt 2 Premium and Claims'!S$14)</f>
        <v>0</v>
      </c>
      <c r="T5" s="213">
        <f>SUM('Pt 2 Premium and Claims'!T$5,'Pt 2 Premium and Claims'!T$6,-'Pt 2 Premium and Claims'!T$7,-'Pt 2 Premium and Claims'!T$13,'Pt 2 Premium and Claims'!T$14)</f>
        <v>0</v>
      </c>
      <c r="U5" s="212">
        <f>SUM('Pt 2 Premium and Claims'!U$5,'Pt 2 Premium and Claims'!U$6,-'Pt 2 Premium and Claims'!U$7,-'Pt 2 Premium and Claims'!U$13,'Pt 2 Premium and Claims'!U$14)</f>
        <v>0</v>
      </c>
      <c r="V5" s="213">
        <f>SUM('Pt 2 Premium and Claims'!V$5,'Pt 2 Premium and Claims'!V$6,-'Pt 2 Premium and Claims'!V$7,-'Pt 2 Premium and Claims'!V$13,'Pt 2 Premium and Claims'!V$14)</f>
        <v>0</v>
      </c>
      <c r="W5" s="213">
        <f>SUM('Pt 2 Premium and Claims'!W$5,'Pt 2 Premium and Claims'!W$6,-'Pt 2 Premium and Claims'!W$7,-'Pt 2 Premium and Claims'!W$13,'Pt 2 Premium and Claims'!W$14)</f>
        <v>0</v>
      </c>
      <c r="X5" s="212">
        <f>SUM('Pt 2 Premium and Claims'!X$5,'Pt 2 Premium and Claims'!X$6,-'Pt 2 Premium and Claims'!X$7,-'Pt 2 Premium and Claims'!X$13,'Pt 2 Premium and Claims'!X$14)</f>
        <v>0</v>
      </c>
      <c r="Y5" s="213">
        <f>SUM('Pt 2 Premium and Claims'!Y$5,'Pt 2 Premium and Claims'!Y$6,-'Pt 2 Premium and Claims'!Y$7,-'Pt 2 Premium and Claims'!Y$13,'Pt 2 Premium and Claims'!Y$14)</f>
        <v>0</v>
      </c>
      <c r="Z5" s="213">
        <f>SUM('Pt 2 Premium and Claims'!Z$5,'Pt 2 Premium and Claims'!Z$6,-'Pt 2 Premium and Claims'!Z$7,-'Pt 2 Premium and Claims'!Z$13,'Pt 2 Premium and Claims'!Z$14)</f>
        <v>0</v>
      </c>
      <c r="AA5" s="212">
        <f>SUM('Pt 2 Premium and Claims'!AA$5,'Pt 2 Premium and Claims'!AA$6,-'Pt 2 Premium and Claims'!AA$7,-'Pt 2 Premium and Claims'!AA$13,'Pt 2 Premium and Claims'!AA$14)</f>
        <v>0</v>
      </c>
      <c r="AB5" s="213">
        <f>SUM('Pt 2 Premium and Claims'!AB$5,'Pt 2 Premium and Claims'!AB$6,-'Pt 2 Premium and Claims'!AB$7,-'Pt 2 Premium and Claims'!AB$13,'Pt 2 Premium and Claims'!AB$14)</f>
        <v>0</v>
      </c>
      <c r="AC5" s="213">
        <f>SUM('Pt 2 Premium and Claims'!AC$5,'Pt 2 Premium and Claims'!AC$6,-'Pt 2 Premium and Claims'!AC$7,-'Pt 2 Premium and Claims'!AC$13,'Pt 2 Premium and Claims'!AC$14)</f>
        <v>0</v>
      </c>
      <c r="AD5" s="212"/>
      <c r="AE5" s="274"/>
      <c r="AF5" s="274"/>
      <c r="AG5" s="274"/>
      <c r="AH5" s="275"/>
      <c r="AI5" s="212"/>
      <c r="AJ5" s="274"/>
      <c r="AK5" s="274"/>
      <c r="AL5" s="274"/>
      <c r="AM5" s="275"/>
      <c r="AN5" s="212"/>
      <c r="AO5" s="213"/>
      <c r="AP5" s="213"/>
      <c r="AQ5" s="213"/>
      <c r="AR5" s="213"/>
      <c r="AS5" s="212">
        <f>SUM('Pt 2 Premium and Claims'!AS$5,'Pt 2 Premium and Claims'!AS$6,-'Pt 2 Premium and Claims'!AS$7,-'Pt 2 Premium and Claims'!AS$13,'Pt 2 Premium and Claims'!AS$14)</f>
        <v>0</v>
      </c>
      <c r="AT5" s="214">
        <f>SUM('Pt 2 Premium and Claims'!AT$5,'Pt 2 Premium and Claims'!AT$6,-'Pt 2 Premium and Claims'!AT$7,-'Pt 2 Premium and Claims'!AT$13,'Pt 2 Premium and Claims'!AT$14)</f>
        <v>19703783</v>
      </c>
      <c r="AU5" s="214">
        <f>SUM('Pt 2 Premium and Claims'!AU$5,'Pt 2 Premium and Claims'!AU$6,-'Pt 2 Premium and Claims'!AU$7,-'Pt 2 Premium and Claims'!AU$13,'Pt 2 Premium and Claims'!AU$14)</f>
        <v>0</v>
      </c>
      <c r="AV5" s="215"/>
      <c r="AW5" s="296"/>
    </row>
    <row r="6" spans="1:49" x14ac:dyDescent="0.2">
      <c r="B6" s="239" t="s">
        <v>223</v>
      </c>
      <c r="C6" s="203" t="s">
        <v>12</v>
      </c>
      <c r="D6" s="216">
        <v>0</v>
      </c>
      <c r="E6" s="217"/>
      <c r="F6" s="217"/>
      <c r="G6" s="218"/>
      <c r="H6" s="218"/>
      <c r="I6" s="219">
        <v>0</v>
      </c>
      <c r="J6" s="216">
        <v>0</v>
      </c>
      <c r="K6" s="217"/>
      <c r="L6" s="217"/>
      <c r="M6" s="218"/>
      <c r="N6" s="218"/>
      <c r="O6" s="219"/>
      <c r="P6" s="216">
        <v>0</v>
      </c>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v>-30425</v>
      </c>
      <c r="E7" s="217">
        <v>-30425.08</v>
      </c>
      <c r="F7" s="217"/>
      <c r="G7" s="217"/>
      <c r="H7" s="217"/>
      <c r="I7" s="216">
        <v>0</v>
      </c>
      <c r="J7" s="216">
        <v>-247004</v>
      </c>
      <c r="K7" s="217">
        <v>-247003.73</v>
      </c>
      <c r="L7" s="217"/>
      <c r="M7" s="217"/>
      <c r="N7" s="217"/>
      <c r="O7" s="216"/>
      <c r="P7" s="216">
        <v>-219234</v>
      </c>
      <c r="Q7" s="217">
        <v>-218603.44</v>
      </c>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v>0</v>
      </c>
      <c r="AT7" s="220">
        <v>-40541</v>
      </c>
      <c r="AU7" s="220">
        <v>0</v>
      </c>
      <c r="AV7" s="290"/>
      <c r="AW7" s="297"/>
    </row>
    <row r="8" spans="1:49" ht="25.5" x14ac:dyDescent="0.2">
      <c r="B8" s="239" t="s">
        <v>225</v>
      </c>
      <c r="C8" s="203" t="s">
        <v>59</v>
      </c>
      <c r="D8" s="216">
        <v>-131752</v>
      </c>
      <c r="E8" s="268"/>
      <c r="F8" s="269"/>
      <c r="G8" s="269"/>
      <c r="H8" s="269"/>
      <c r="I8" s="272"/>
      <c r="J8" s="216">
        <v>-286152</v>
      </c>
      <c r="K8" s="268"/>
      <c r="L8" s="269"/>
      <c r="M8" s="269"/>
      <c r="N8" s="269"/>
      <c r="O8" s="272"/>
      <c r="P8" s="216">
        <v>-141731</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v>0</v>
      </c>
      <c r="AT8" s="220">
        <v>-387827</v>
      </c>
      <c r="AU8" s="220">
        <v>0</v>
      </c>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f>'Pt 2 Premium and Claims'!D$54</f>
        <v>28472551</v>
      </c>
      <c r="E12" s="213">
        <f>'Pt 2 Premium and Claims'!E$54</f>
        <v>25580582.550999999</v>
      </c>
      <c r="F12" s="213">
        <f>'Pt 2 Premium and Claims'!F$54</f>
        <v>0</v>
      </c>
      <c r="G12" s="213">
        <f>'Pt 2 Premium and Claims'!G$54</f>
        <v>0</v>
      </c>
      <c r="H12" s="213">
        <f>'Pt 2 Premium and Claims'!H$54</f>
        <v>0</v>
      </c>
      <c r="I12" s="212">
        <f>'Pt 2 Premium and Claims'!I$54</f>
        <v>23170696</v>
      </c>
      <c r="J12" s="212">
        <f>'Pt 2 Premium and Claims'!J$54</f>
        <v>131409831</v>
      </c>
      <c r="K12" s="213">
        <f>'Pt 2 Premium and Claims'!K$54</f>
        <v>131272620.09395519</v>
      </c>
      <c r="L12" s="213">
        <f>'Pt 2 Premium and Claims'!L$54</f>
        <v>0</v>
      </c>
      <c r="M12" s="213">
        <f>'Pt 2 Premium and Claims'!M$54</f>
        <v>0</v>
      </c>
      <c r="N12" s="213">
        <f>'Pt 2 Premium and Claims'!N$54</f>
        <v>0</v>
      </c>
      <c r="O12" s="212">
        <f>'Pt 2 Premium and Claims'!O$54</f>
        <v>0</v>
      </c>
      <c r="P12" s="212">
        <f>'Pt 2 Premium and Claims'!P$54</f>
        <v>111473021</v>
      </c>
      <c r="Q12" s="213">
        <f>'Pt 2 Premium and Claims'!Q$54</f>
        <v>117220789.57779752</v>
      </c>
      <c r="R12" s="213">
        <f>'Pt 2 Premium and Claims'!R$54</f>
        <v>0</v>
      </c>
      <c r="S12" s="213">
        <f>'Pt 2 Premium and Claims'!S$54</f>
        <v>0</v>
      </c>
      <c r="T12" s="213">
        <f>'Pt 2 Premium and Claims'!T$54</f>
        <v>0</v>
      </c>
      <c r="U12" s="212">
        <f>'Pt 2 Premium and Claims'!U$54</f>
        <v>0</v>
      </c>
      <c r="V12" s="213">
        <f>'Pt 2 Premium and Claims'!V$54</f>
        <v>0</v>
      </c>
      <c r="W12" s="213">
        <f>'Pt 2 Premium and Claims'!W$54</f>
        <v>0</v>
      </c>
      <c r="X12" s="212">
        <f>'Pt 2 Premium and Claims'!X$54</f>
        <v>0</v>
      </c>
      <c r="Y12" s="213">
        <f>'Pt 2 Premium and Claims'!Y$54</f>
        <v>0</v>
      </c>
      <c r="Z12" s="213">
        <f>'Pt 2 Premium and Claims'!Z$54</f>
        <v>0</v>
      </c>
      <c r="AA12" s="212">
        <f>'Pt 2 Premium and Claims'!AA$54</f>
        <v>0</v>
      </c>
      <c r="AB12" s="213">
        <f>'Pt 2 Premium and Claims'!AB$54</f>
        <v>0</v>
      </c>
      <c r="AC12" s="213">
        <f>'Pt 2 Premium and Claims'!AC$54</f>
        <v>0</v>
      </c>
      <c r="AD12" s="212"/>
      <c r="AE12" s="274"/>
      <c r="AF12" s="274"/>
      <c r="AG12" s="274"/>
      <c r="AH12" s="275"/>
      <c r="AI12" s="212"/>
      <c r="AJ12" s="274"/>
      <c r="AK12" s="274"/>
      <c r="AL12" s="274"/>
      <c r="AM12" s="275"/>
      <c r="AN12" s="212"/>
      <c r="AO12" s="213"/>
      <c r="AP12" s="213"/>
      <c r="AQ12" s="213"/>
      <c r="AR12" s="213"/>
      <c r="AS12" s="212">
        <f>'Pt 2 Premium and Claims'!AS$54</f>
        <v>0</v>
      </c>
      <c r="AT12" s="214">
        <f>'Pt 2 Premium and Claims'!AT$54</f>
        <v>15552373</v>
      </c>
      <c r="AU12" s="214">
        <f>'Pt 2 Premium and Claims'!AU$54</f>
        <v>0</v>
      </c>
      <c r="AV12" s="291"/>
      <c r="AW12" s="296"/>
    </row>
    <row r="13" spans="1:49" ht="25.5" x14ac:dyDescent="0.2">
      <c r="B13" s="239" t="s">
        <v>230</v>
      </c>
      <c r="C13" s="203" t="s">
        <v>37</v>
      </c>
      <c r="D13" s="216">
        <v>7150136</v>
      </c>
      <c r="E13" s="217">
        <v>7265465.3700000001</v>
      </c>
      <c r="F13" s="217"/>
      <c r="G13" s="268"/>
      <c r="H13" s="269"/>
      <c r="I13" s="216">
        <v>5140510</v>
      </c>
      <c r="J13" s="216">
        <v>26590642</v>
      </c>
      <c r="K13" s="217">
        <v>26242759.968544953</v>
      </c>
      <c r="L13" s="217"/>
      <c r="M13" s="268"/>
      <c r="N13" s="269"/>
      <c r="O13" s="216"/>
      <c r="P13" s="216">
        <v>20352350</v>
      </c>
      <c r="Q13" s="217">
        <v>20833377.212559305</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v>0</v>
      </c>
      <c r="AT13" s="220">
        <v>123954</v>
      </c>
      <c r="AU13" s="220">
        <v>0</v>
      </c>
      <c r="AV13" s="290"/>
      <c r="AW13" s="297"/>
    </row>
    <row r="14" spans="1:49" ht="25.5" x14ac:dyDescent="0.2">
      <c r="B14" s="239" t="s">
        <v>231</v>
      </c>
      <c r="C14" s="203" t="s">
        <v>6</v>
      </c>
      <c r="D14" s="216">
        <v>701378</v>
      </c>
      <c r="E14" s="217">
        <v>692005.60000000009</v>
      </c>
      <c r="F14" s="217"/>
      <c r="G14" s="267"/>
      <c r="H14" s="270"/>
      <c r="I14" s="216">
        <v>403068</v>
      </c>
      <c r="J14" s="216">
        <v>3384171</v>
      </c>
      <c r="K14" s="217">
        <v>3265610.3367865556</v>
      </c>
      <c r="L14" s="217"/>
      <c r="M14" s="267"/>
      <c r="N14" s="270"/>
      <c r="O14" s="216"/>
      <c r="P14" s="216">
        <v>2639401</v>
      </c>
      <c r="Q14" s="217">
        <v>2752349.2206020742</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v>0</v>
      </c>
      <c r="AT14" s="220">
        <v>223</v>
      </c>
      <c r="AU14" s="220">
        <v>0</v>
      </c>
      <c r="AV14" s="290"/>
      <c r="AW14" s="297"/>
    </row>
    <row r="15" spans="1:49" ht="38.25" x14ac:dyDescent="0.2">
      <c r="B15" s="239" t="s">
        <v>232</v>
      </c>
      <c r="C15" s="203" t="s">
        <v>7</v>
      </c>
      <c r="D15" s="216">
        <v>1399</v>
      </c>
      <c r="E15" s="217">
        <v>1399.39</v>
      </c>
      <c r="F15" s="217"/>
      <c r="G15" s="267"/>
      <c r="H15" s="273"/>
      <c r="I15" s="216">
        <v>748</v>
      </c>
      <c r="J15" s="216">
        <v>6201</v>
      </c>
      <c r="K15" s="217">
        <v>6016.5083666340952</v>
      </c>
      <c r="L15" s="217"/>
      <c r="M15" s="267"/>
      <c r="N15" s="273"/>
      <c r="O15" s="216"/>
      <c r="P15" s="216">
        <v>4801</v>
      </c>
      <c r="Q15" s="217">
        <v>4972.1616333659049</v>
      </c>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v>0</v>
      </c>
      <c r="AT15" s="220">
        <v>690</v>
      </c>
      <c r="AU15" s="220">
        <v>0</v>
      </c>
      <c r="AV15" s="290"/>
      <c r="AW15" s="297"/>
    </row>
    <row r="16" spans="1:49" ht="25.5" x14ac:dyDescent="0.2">
      <c r="B16" s="239" t="s">
        <v>233</v>
      </c>
      <c r="C16" s="203" t="s">
        <v>61</v>
      </c>
      <c r="D16" s="216">
        <v>-4036323</v>
      </c>
      <c r="E16" s="268"/>
      <c r="F16" s="269"/>
      <c r="G16" s="270"/>
      <c r="H16" s="270"/>
      <c r="I16" s="272"/>
      <c r="J16" s="216">
        <v>0</v>
      </c>
      <c r="K16" s="268"/>
      <c r="L16" s="269"/>
      <c r="M16" s="270"/>
      <c r="N16" s="270"/>
      <c r="O16" s="272"/>
      <c r="P16" s="216">
        <v>18277</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v>0</v>
      </c>
      <c r="AT16" s="220">
        <v>-337569</v>
      </c>
      <c r="AU16" s="220">
        <v>0</v>
      </c>
      <c r="AV16" s="290"/>
      <c r="AW16" s="297"/>
    </row>
    <row r="17" spans="1:49" x14ac:dyDescent="0.2">
      <c r="B17" s="239" t="s">
        <v>234</v>
      </c>
      <c r="C17" s="203" t="s">
        <v>62</v>
      </c>
      <c r="D17" s="216">
        <v>6628271</v>
      </c>
      <c r="E17" s="267"/>
      <c r="F17" s="270"/>
      <c r="G17" s="270"/>
      <c r="H17" s="270"/>
      <c r="I17" s="271"/>
      <c r="J17" s="216">
        <v>-183</v>
      </c>
      <c r="K17" s="267"/>
      <c r="L17" s="270"/>
      <c r="M17" s="270"/>
      <c r="N17" s="270"/>
      <c r="O17" s="271"/>
      <c r="P17" s="216">
        <v>-1031683</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v>211</v>
      </c>
      <c r="E19" s="267"/>
      <c r="F19" s="270"/>
      <c r="G19" s="270"/>
      <c r="H19" s="270"/>
      <c r="I19" s="271"/>
      <c r="J19" s="216">
        <v>28</v>
      </c>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v>748543</v>
      </c>
      <c r="E20" s="267"/>
      <c r="F20" s="270"/>
      <c r="G20" s="270"/>
      <c r="H20" s="270"/>
      <c r="I20" s="271"/>
      <c r="J20" s="216">
        <v>0</v>
      </c>
      <c r="K20" s="267"/>
      <c r="L20" s="270"/>
      <c r="M20" s="270"/>
      <c r="N20" s="270"/>
      <c r="O20" s="271"/>
      <c r="P20" s="216">
        <v>422</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f>'Pt 2 Premium and Claims'!D$55</f>
        <v>38925.160000000003</v>
      </c>
      <c r="E22" s="222">
        <f>'Pt 2 Premium and Claims'!E$55</f>
        <v>38925.160000000003</v>
      </c>
      <c r="F22" s="222">
        <f>'Pt 2 Premium and Claims'!F$55</f>
        <v>0</v>
      </c>
      <c r="G22" s="222">
        <f>'Pt 2 Premium and Claims'!G$55</f>
        <v>0</v>
      </c>
      <c r="H22" s="222">
        <f>'Pt 2 Premium and Claims'!H$55</f>
        <v>0</v>
      </c>
      <c r="I22" s="221">
        <f>'Pt 2 Premium and Claims'!I$55</f>
        <v>15085</v>
      </c>
      <c r="J22" s="221">
        <f>'Pt 2 Premium and Claims'!J$55</f>
        <v>225082.01</v>
      </c>
      <c r="K22" s="222">
        <f>'Pt 2 Premium and Claims'!K$55</f>
        <v>218386.98041590766</v>
      </c>
      <c r="L22" s="222">
        <f>'Pt 2 Premium and Claims'!L$55</f>
        <v>0</v>
      </c>
      <c r="M22" s="222">
        <f>'Pt 2 Premium and Claims'!M$55</f>
        <v>0</v>
      </c>
      <c r="N22" s="222">
        <f>'Pt 2 Premium and Claims'!N$55</f>
        <v>0</v>
      </c>
      <c r="O22" s="221">
        <f>'Pt 2 Premium and Claims'!O$55</f>
        <v>0</v>
      </c>
      <c r="P22" s="221">
        <f>'Pt 2 Premium and Claims'!P$55</f>
        <v>171916.91</v>
      </c>
      <c r="Q22" s="222">
        <f>'Pt 2 Premium and Claims'!Q$55</f>
        <v>178006.25958409233</v>
      </c>
      <c r="R22" s="222">
        <f>'Pt 2 Premium and Claims'!R$55</f>
        <v>0</v>
      </c>
      <c r="S22" s="222">
        <f>'Pt 2 Premium and Claims'!S$55</f>
        <v>0</v>
      </c>
      <c r="T22" s="222">
        <f>'Pt 2 Premium and Claims'!T$55</f>
        <v>0</v>
      </c>
      <c r="U22" s="221">
        <f>'Pt 2 Premium and Claims'!U$55</f>
        <v>0</v>
      </c>
      <c r="V22" s="222">
        <f>'Pt 2 Premium and Claims'!V$55</f>
        <v>0</v>
      </c>
      <c r="W22" s="222">
        <f>'Pt 2 Premium and Claims'!W$55</f>
        <v>0</v>
      </c>
      <c r="X22" s="221">
        <f>'Pt 2 Premium and Claims'!X$55</f>
        <v>0</v>
      </c>
      <c r="Y22" s="222">
        <f>'Pt 2 Premium and Claims'!Y$55</f>
        <v>0</v>
      </c>
      <c r="Z22" s="222">
        <f>'Pt 2 Premium and Claims'!Z$55</f>
        <v>0</v>
      </c>
      <c r="AA22" s="221">
        <f>'Pt 2 Premium and Claims'!AA$55</f>
        <v>0</v>
      </c>
      <c r="AB22" s="222">
        <f>'Pt 2 Premium and Claims'!AB$55</f>
        <v>0</v>
      </c>
      <c r="AC22" s="222">
        <f>'Pt 2 Premium and Claims'!AC$55</f>
        <v>0</v>
      </c>
      <c r="AD22" s="221"/>
      <c r="AE22" s="270"/>
      <c r="AF22" s="270"/>
      <c r="AG22" s="270"/>
      <c r="AH22" s="270"/>
      <c r="AI22" s="221"/>
      <c r="AJ22" s="270"/>
      <c r="AK22" s="270"/>
      <c r="AL22" s="270"/>
      <c r="AM22" s="270"/>
      <c r="AN22" s="221"/>
      <c r="AO22" s="222"/>
      <c r="AP22" s="222"/>
      <c r="AQ22" s="222"/>
      <c r="AR22" s="222"/>
      <c r="AS22" s="221">
        <f>'Pt 2 Premium and Claims'!AS$55</f>
        <v>0</v>
      </c>
      <c r="AT22" s="223">
        <f>'Pt 2 Premium and Claims'!AT$55</f>
        <v>0</v>
      </c>
      <c r="AU22" s="223">
        <f>'Pt 2 Premium and Claims'!AU$55</f>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611656.1</v>
      </c>
      <c r="E25" s="217">
        <v>611656.47754788026</v>
      </c>
      <c r="F25" s="217"/>
      <c r="G25" s="217"/>
      <c r="H25" s="217"/>
      <c r="I25" s="216">
        <v>152001</v>
      </c>
      <c r="J25" s="216">
        <v>11175131.82</v>
      </c>
      <c r="K25" s="217">
        <v>10524516.940766672</v>
      </c>
      <c r="L25" s="217"/>
      <c r="M25" s="217"/>
      <c r="N25" s="217"/>
      <c r="O25" s="216"/>
      <c r="P25" s="216">
        <v>-2193402.06</v>
      </c>
      <c r="Q25" s="217">
        <v>-1429538.8888399957</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448460.22</v>
      </c>
      <c r="AU25" s="220"/>
      <c r="AV25" s="220"/>
      <c r="AW25" s="297"/>
    </row>
    <row r="26" spans="1:49" s="5" customFormat="1" x14ac:dyDescent="0.2">
      <c r="A26" s="35"/>
      <c r="B26" s="242" t="s">
        <v>242</v>
      </c>
      <c r="C26" s="203"/>
      <c r="D26" s="216">
        <v>28074.69</v>
      </c>
      <c r="E26" s="217">
        <v>28074.69</v>
      </c>
      <c r="F26" s="217"/>
      <c r="G26" s="217"/>
      <c r="H26" s="217"/>
      <c r="I26" s="216">
        <v>5183</v>
      </c>
      <c r="J26" s="216">
        <v>88253.56</v>
      </c>
      <c r="K26" s="217">
        <v>85600.440911016936</v>
      </c>
      <c r="L26" s="217"/>
      <c r="M26" s="217"/>
      <c r="N26" s="217"/>
      <c r="O26" s="216"/>
      <c r="P26" s="216">
        <v>70895.09</v>
      </c>
      <c r="Q26" s="217">
        <v>73367.929088983059</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1202.98</v>
      </c>
      <c r="AU26" s="220"/>
      <c r="AV26" s="220"/>
      <c r="AW26" s="297"/>
    </row>
    <row r="27" spans="1:49" s="5" customFormat="1" x14ac:dyDescent="0.2">
      <c r="B27" s="242" t="s">
        <v>243</v>
      </c>
      <c r="C27" s="203"/>
      <c r="D27" s="216">
        <v>654290.47</v>
      </c>
      <c r="E27" s="217">
        <v>654290.47</v>
      </c>
      <c r="F27" s="217"/>
      <c r="G27" s="217"/>
      <c r="H27" s="217"/>
      <c r="I27" s="216">
        <v>344084</v>
      </c>
      <c r="J27" s="216">
        <v>2953901.03</v>
      </c>
      <c r="K27" s="217">
        <v>2866530.8275253796</v>
      </c>
      <c r="L27" s="217"/>
      <c r="M27" s="217"/>
      <c r="N27" s="217"/>
      <c r="O27" s="216"/>
      <c r="P27" s="216">
        <v>2281060.0499999998</v>
      </c>
      <c r="Q27" s="217">
        <v>2361999.3724746206</v>
      </c>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48020.3</v>
      </c>
      <c r="AU27" s="220"/>
      <c r="AV27" s="293"/>
      <c r="AW27" s="297"/>
    </row>
    <row r="28" spans="1:49" s="5" customFormat="1" x14ac:dyDescent="0.2">
      <c r="A28" s="35"/>
      <c r="B28" s="242" t="s">
        <v>244</v>
      </c>
      <c r="C28" s="203"/>
      <c r="D28" s="216">
        <v>77086.55</v>
      </c>
      <c r="E28" s="217">
        <v>77086.55</v>
      </c>
      <c r="F28" s="217"/>
      <c r="G28" s="217"/>
      <c r="H28" s="217"/>
      <c r="I28" s="216">
        <v>24646</v>
      </c>
      <c r="J28" s="216">
        <v>278284.71999999997</v>
      </c>
      <c r="K28" s="217">
        <v>269937.5424705671</v>
      </c>
      <c r="L28" s="217"/>
      <c r="M28" s="217"/>
      <c r="N28" s="217"/>
      <c r="O28" s="216"/>
      <c r="P28" s="216">
        <v>218253.6</v>
      </c>
      <c r="Q28" s="217">
        <v>225560.25752943289</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30638.400000000001</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57548.41</v>
      </c>
      <c r="E30" s="217">
        <v>57548.439544007328</v>
      </c>
      <c r="F30" s="217"/>
      <c r="G30" s="217"/>
      <c r="H30" s="217"/>
      <c r="I30" s="216">
        <v>15066</v>
      </c>
      <c r="J30" s="216">
        <v>910238.15</v>
      </c>
      <c r="K30" s="217">
        <v>858247.093044159</v>
      </c>
      <c r="L30" s="217"/>
      <c r="M30" s="217"/>
      <c r="N30" s="217"/>
      <c r="O30" s="216"/>
      <c r="P30" s="216">
        <v>-143944.65</v>
      </c>
      <c r="Q30" s="217">
        <v>-83215.229590493327</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39066.76</v>
      </c>
      <c r="AU30" s="220"/>
      <c r="AV30" s="220"/>
      <c r="AW30" s="297"/>
    </row>
    <row r="31" spans="1:49" x14ac:dyDescent="0.2">
      <c r="B31" s="242" t="s">
        <v>247</v>
      </c>
      <c r="C31" s="203"/>
      <c r="D31" s="216">
        <v>141322.26999999999</v>
      </c>
      <c r="E31" s="217">
        <v>141322.26999999999</v>
      </c>
      <c r="F31" s="217"/>
      <c r="G31" s="217"/>
      <c r="H31" s="217"/>
      <c r="I31" s="216">
        <v>55476</v>
      </c>
      <c r="J31" s="216">
        <v>813924.75</v>
      </c>
      <c r="K31" s="217">
        <v>790169.01330873824</v>
      </c>
      <c r="L31" s="217"/>
      <c r="M31" s="217"/>
      <c r="N31" s="217"/>
      <c r="O31" s="216"/>
      <c r="P31" s="216">
        <v>609303.27</v>
      </c>
      <c r="Q31" s="217">
        <v>633056.43669126183</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89839.9</v>
      </c>
      <c r="AU31" s="220"/>
      <c r="AV31" s="220"/>
      <c r="AW31" s="297"/>
    </row>
    <row r="32" spans="1:49" ht="13.9" customHeight="1" x14ac:dyDescent="0.2">
      <c r="B32" s="242" t="s">
        <v>248</v>
      </c>
      <c r="C32" s="203" t="s">
        <v>82</v>
      </c>
      <c r="D32" s="216"/>
      <c r="E32" s="217"/>
      <c r="F32" s="217"/>
      <c r="G32" s="217"/>
      <c r="H32" s="217"/>
      <c r="I32" s="216">
        <v>0</v>
      </c>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249447.09</v>
      </c>
      <c r="E34" s="217">
        <v>329503.57</v>
      </c>
      <c r="F34" s="217"/>
      <c r="G34" s="217"/>
      <c r="H34" s="217"/>
      <c r="I34" s="216">
        <v>106833</v>
      </c>
      <c r="J34" s="216">
        <v>1575927.34</v>
      </c>
      <c r="K34" s="217">
        <v>1529551.3536439247</v>
      </c>
      <c r="L34" s="217"/>
      <c r="M34" s="217"/>
      <c r="N34" s="217"/>
      <c r="O34" s="216"/>
      <c r="P34" s="216">
        <v>1165480.3400000001</v>
      </c>
      <c r="Q34" s="217">
        <v>1211856.3263560755</v>
      </c>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183682.04</v>
      </c>
      <c r="E35" s="217">
        <v>183682.04</v>
      </c>
      <c r="F35" s="217"/>
      <c r="G35" s="217"/>
      <c r="H35" s="217"/>
      <c r="I35" s="216">
        <v>167134</v>
      </c>
      <c r="J35" s="216">
        <v>95204.54</v>
      </c>
      <c r="K35" s="217">
        <v>92398.35020137942</v>
      </c>
      <c r="L35" s="217"/>
      <c r="M35" s="217"/>
      <c r="N35" s="217"/>
      <c r="O35" s="216"/>
      <c r="P35" s="216">
        <v>70789.94</v>
      </c>
      <c r="Q35" s="217">
        <v>73266.349798620577</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61956.27</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127366</v>
      </c>
      <c r="E37" s="225">
        <v>127366.06</v>
      </c>
      <c r="F37" s="225"/>
      <c r="G37" s="225"/>
      <c r="H37" s="225"/>
      <c r="I37" s="224">
        <v>44038</v>
      </c>
      <c r="J37" s="224">
        <v>327635</v>
      </c>
      <c r="K37" s="225">
        <v>315078.58214644901</v>
      </c>
      <c r="L37" s="225"/>
      <c r="M37" s="225"/>
      <c r="N37" s="225"/>
      <c r="O37" s="224"/>
      <c r="P37" s="224">
        <v>448011</v>
      </c>
      <c r="Q37" s="225">
        <v>444747.30785355094</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v>0</v>
      </c>
      <c r="AT37" s="226">
        <v>95</v>
      </c>
      <c r="AU37" s="226">
        <v>0</v>
      </c>
      <c r="AV37" s="226">
        <v>692601</v>
      </c>
      <c r="AW37" s="296"/>
    </row>
    <row r="38" spans="1:49" x14ac:dyDescent="0.2">
      <c r="B38" s="239" t="s">
        <v>254</v>
      </c>
      <c r="C38" s="203" t="s">
        <v>16</v>
      </c>
      <c r="D38" s="216">
        <v>72173</v>
      </c>
      <c r="E38" s="217">
        <v>72173.119999999995</v>
      </c>
      <c r="F38" s="217"/>
      <c r="G38" s="217"/>
      <c r="H38" s="217"/>
      <c r="I38" s="216">
        <v>25626</v>
      </c>
      <c r="J38" s="216">
        <v>76859</v>
      </c>
      <c r="K38" s="217">
        <v>71833.304411837555</v>
      </c>
      <c r="L38" s="217"/>
      <c r="M38" s="217"/>
      <c r="N38" s="217"/>
      <c r="O38" s="216"/>
      <c r="P38" s="216">
        <v>253174</v>
      </c>
      <c r="Q38" s="217">
        <v>243011.42558816244</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v>0</v>
      </c>
      <c r="AT38" s="220">
        <v>1</v>
      </c>
      <c r="AU38" s="220">
        <v>0</v>
      </c>
      <c r="AV38" s="220">
        <v>302752</v>
      </c>
      <c r="AW38" s="297"/>
    </row>
    <row r="39" spans="1:49" x14ac:dyDescent="0.2">
      <c r="B39" s="242" t="s">
        <v>255</v>
      </c>
      <c r="C39" s="203" t="s">
        <v>17</v>
      </c>
      <c r="D39" s="216">
        <v>43292</v>
      </c>
      <c r="E39" s="217">
        <v>43292.38</v>
      </c>
      <c r="F39" s="217"/>
      <c r="G39" s="217"/>
      <c r="H39" s="217"/>
      <c r="I39" s="216">
        <v>16132</v>
      </c>
      <c r="J39" s="216">
        <v>179225</v>
      </c>
      <c r="K39" s="217">
        <v>173514.90729587074</v>
      </c>
      <c r="L39" s="217"/>
      <c r="M39" s="217"/>
      <c r="N39" s="217"/>
      <c r="O39" s="216"/>
      <c r="P39" s="216">
        <v>166200</v>
      </c>
      <c r="Q39" s="217">
        <v>169268.70270412925</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v>0</v>
      </c>
      <c r="AT39" s="220">
        <v>2301</v>
      </c>
      <c r="AU39" s="220">
        <v>0</v>
      </c>
      <c r="AV39" s="220">
        <v>202938</v>
      </c>
      <c r="AW39" s="297"/>
    </row>
    <row r="40" spans="1:49" x14ac:dyDescent="0.2">
      <c r="B40" s="242" t="s">
        <v>256</v>
      </c>
      <c r="C40" s="203" t="s">
        <v>38</v>
      </c>
      <c r="D40" s="216">
        <v>178593</v>
      </c>
      <c r="E40" s="217">
        <v>178592.51</v>
      </c>
      <c r="F40" s="217"/>
      <c r="G40" s="217"/>
      <c r="H40" s="217"/>
      <c r="I40" s="216">
        <v>66084</v>
      </c>
      <c r="J40" s="216">
        <v>1349314</v>
      </c>
      <c r="K40" s="217">
        <v>1307325.5671355575</v>
      </c>
      <c r="L40" s="217"/>
      <c r="M40" s="217"/>
      <c r="N40" s="217"/>
      <c r="O40" s="216"/>
      <c r="P40" s="216">
        <v>1158810</v>
      </c>
      <c r="Q40" s="217">
        <v>1189887.8828644424</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v>0</v>
      </c>
      <c r="AT40" s="220">
        <v>12899</v>
      </c>
      <c r="AU40" s="220">
        <v>0</v>
      </c>
      <c r="AV40" s="220">
        <v>924251</v>
      </c>
      <c r="AW40" s="297"/>
    </row>
    <row r="41" spans="1:49" s="5" customFormat="1" ht="25.5" x14ac:dyDescent="0.2">
      <c r="A41" s="35"/>
      <c r="B41" s="242" t="s">
        <v>257</v>
      </c>
      <c r="C41" s="203" t="s">
        <v>129</v>
      </c>
      <c r="D41" s="216">
        <v>48953</v>
      </c>
      <c r="E41" s="217">
        <v>48953.02</v>
      </c>
      <c r="F41" s="217"/>
      <c r="G41" s="217"/>
      <c r="H41" s="217"/>
      <c r="I41" s="216">
        <v>11986</v>
      </c>
      <c r="J41" s="216">
        <v>225872</v>
      </c>
      <c r="K41" s="217">
        <v>219192.30786184725</v>
      </c>
      <c r="L41" s="217"/>
      <c r="M41" s="217"/>
      <c r="N41" s="217"/>
      <c r="O41" s="216"/>
      <c r="P41" s="216">
        <v>170012</v>
      </c>
      <c r="Q41" s="217">
        <v>176177.55213815277</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v>0</v>
      </c>
      <c r="AT41" s="220">
        <v>20989</v>
      </c>
      <c r="AU41" s="220">
        <v>0</v>
      </c>
      <c r="AV41" s="220">
        <v>575470</v>
      </c>
      <c r="AW41" s="297"/>
    </row>
    <row r="42" spans="1:49" s="5" customFormat="1" ht="24.95" customHeight="1" x14ac:dyDescent="0.2">
      <c r="A42" s="35"/>
      <c r="B42" s="239" t="s">
        <v>258</v>
      </c>
      <c r="C42" s="203" t="s">
        <v>87</v>
      </c>
      <c r="D42" s="216"/>
      <c r="E42" s="217"/>
      <c r="F42" s="217"/>
      <c r="G42" s="217"/>
      <c r="H42" s="217"/>
      <c r="I42" s="216">
        <v>0</v>
      </c>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295199</v>
      </c>
      <c r="E44" s="225">
        <v>295199.42</v>
      </c>
      <c r="F44" s="225"/>
      <c r="G44" s="225"/>
      <c r="H44" s="225"/>
      <c r="I44" s="224">
        <v>146361</v>
      </c>
      <c r="J44" s="224">
        <v>1799372</v>
      </c>
      <c r="K44" s="225">
        <v>1745558.9087239865</v>
      </c>
      <c r="L44" s="225"/>
      <c r="M44" s="225"/>
      <c r="N44" s="225"/>
      <c r="O44" s="224"/>
      <c r="P44" s="224">
        <v>1403437</v>
      </c>
      <c r="Q44" s="225">
        <v>1451191.4612760136</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v>0</v>
      </c>
      <c r="AT44" s="226">
        <v>105699</v>
      </c>
      <c r="AU44" s="226">
        <v>0</v>
      </c>
      <c r="AV44" s="226">
        <v>3290121</v>
      </c>
      <c r="AW44" s="296"/>
    </row>
    <row r="45" spans="1:49" x14ac:dyDescent="0.2">
      <c r="B45" s="245" t="s">
        <v>261</v>
      </c>
      <c r="C45" s="203" t="s">
        <v>19</v>
      </c>
      <c r="D45" s="216">
        <v>241455</v>
      </c>
      <c r="E45" s="217">
        <v>241454.52</v>
      </c>
      <c r="F45" s="217"/>
      <c r="G45" s="217"/>
      <c r="H45" s="217"/>
      <c r="I45" s="216">
        <v>102865</v>
      </c>
      <c r="J45" s="216">
        <v>923136</v>
      </c>
      <c r="K45" s="217">
        <v>895782.94035998185</v>
      </c>
      <c r="L45" s="217"/>
      <c r="M45" s="217"/>
      <c r="N45" s="217"/>
      <c r="O45" s="216"/>
      <c r="P45" s="216">
        <v>702335</v>
      </c>
      <c r="Q45" s="217">
        <v>727528.91964001826</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v>0</v>
      </c>
      <c r="AT45" s="220">
        <v>113808</v>
      </c>
      <c r="AU45" s="220">
        <v>0</v>
      </c>
      <c r="AV45" s="220">
        <v>2709225</v>
      </c>
      <c r="AW45" s="297"/>
    </row>
    <row r="46" spans="1:49" x14ac:dyDescent="0.2">
      <c r="B46" s="245" t="s">
        <v>262</v>
      </c>
      <c r="C46" s="203" t="s">
        <v>20</v>
      </c>
      <c r="D46" s="216">
        <v>71003</v>
      </c>
      <c r="E46" s="217">
        <v>71003.039999999994</v>
      </c>
      <c r="F46" s="217"/>
      <c r="G46" s="217"/>
      <c r="H46" s="217"/>
      <c r="I46" s="216">
        <v>52012</v>
      </c>
      <c r="J46" s="216">
        <v>623662</v>
      </c>
      <c r="K46" s="217">
        <v>605042.45494136109</v>
      </c>
      <c r="L46" s="217"/>
      <c r="M46" s="217"/>
      <c r="N46" s="217"/>
      <c r="O46" s="216"/>
      <c r="P46" s="216">
        <v>480488</v>
      </c>
      <c r="Q46" s="217">
        <v>497921.49505863892</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v>0</v>
      </c>
      <c r="AT46" s="220">
        <v>39165</v>
      </c>
      <c r="AU46" s="220">
        <v>0</v>
      </c>
      <c r="AV46" s="220">
        <v>958039</v>
      </c>
      <c r="AW46" s="297"/>
    </row>
    <row r="47" spans="1:49" x14ac:dyDescent="0.2">
      <c r="B47" s="245" t="s">
        <v>263</v>
      </c>
      <c r="C47" s="203" t="s">
        <v>21</v>
      </c>
      <c r="D47" s="216">
        <v>1007410</v>
      </c>
      <c r="E47" s="217">
        <v>1007410.17</v>
      </c>
      <c r="F47" s="217"/>
      <c r="G47" s="217"/>
      <c r="H47" s="217"/>
      <c r="I47" s="216">
        <v>267523</v>
      </c>
      <c r="J47" s="216">
        <v>8286656</v>
      </c>
      <c r="K47" s="217">
        <v>8044306.1965609817</v>
      </c>
      <c r="L47" s="217"/>
      <c r="M47" s="217"/>
      <c r="N47" s="217"/>
      <c r="O47" s="216"/>
      <c r="P47" s="216">
        <v>6059567</v>
      </c>
      <c r="Q47" s="217">
        <v>6301530.1034390181</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v>0</v>
      </c>
      <c r="AT47" s="220">
        <v>4055212</v>
      </c>
      <c r="AU47" s="220">
        <v>0</v>
      </c>
      <c r="AV47" s="220">
        <v>465540</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11182.28</v>
      </c>
      <c r="E49" s="217">
        <v>11182.28</v>
      </c>
      <c r="F49" s="217"/>
      <c r="G49" s="217"/>
      <c r="H49" s="217"/>
      <c r="I49" s="216">
        <v>-6105</v>
      </c>
      <c r="J49" s="216">
        <v>320528.99</v>
      </c>
      <c r="K49" s="217">
        <v>320232.05932604003</v>
      </c>
      <c r="L49" s="217"/>
      <c r="M49" s="217"/>
      <c r="N49" s="217"/>
      <c r="O49" s="216"/>
      <c r="P49" s="216">
        <v>-62170.3</v>
      </c>
      <c r="Q49" s="217">
        <v>-58641.509326040039</v>
      </c>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13476.41</v>
      </c>
      <c r="AU49" s="220"/>
      <c r="AV49" s="220"/>
      <c r="AW49" s="297"/>
    </row>
    <row r="50" spans="2:49" ht="25.5" x14ac:dyDescent="0.2">
      <c r="B50" s="239" t="s">
        <v>265</v>
      </c>
      <c r="C50" s="203"/>
      <c r="D50" s="216"/>
      <c r="E50" s="217"/>
      <c r="F50" s="217"/>
      <c r="G50" s="217"/>
      <c r="H50" s="217"/>
      <c r="I50" s="216">
        <v>0</v>
      </c>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2424358</v>
      </c>
      <c r="E51" s="217">
        <v>2424357.9500000002</v>
      </c>
      <c r="F51" s="217"/>
      <c r="G51" s="217"/>
      <c r="H51" s="217"/>
      <c r="I51" s="216">
        <v>748549</v>
      </c>
      <c r="J51" s="216">
        <v>8780046</v>
      </c>
      <c r="K51" s="217">
        <v>8523959.5135746635</v>
      </c>
      <c r="L51" s="217"/>
      <c r="M51" s="217"/>
      <c r="N51" s="217"/>
      <c r="O51" s="216"/>
      <c r="P51" s="216">
        <v>6403429</v>
      </c>
      <c r="Q51" s="217">
        <v>6627056.7564253369</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v>0</v>
      </c>
      <c r="AT51" s="220">
        <v>-1691311</v>
      </c>
      <c r="AU51" s="220">
        <v>0</v>
      </c>
      <c r="AV51" s="220">
        <v>18114591</v>
      </c>
      <c r="AW51" s="297"/>
    </row>
    <row r="52" spans="2:49" ht="25.5" x14ac:dyDescent="0.2">
      <c r="B52" s="239" t="s">
        <v>267</v>
      </c>
      <c r="C52" s="203" t="s">
        <v>89</v>
      </c>
      <c r="D52" s="216">
        <v>0</v>
      </c>
      <c r="E52" s="217"/>
      <c r="F52" s="217"/>
      <c r="G52" s="217"/>
      <c r="H52" s="217"/>
      <c r="I52" s="216">
        <v>0</v>
      </c>
      <c r="J52" s="216">
        <v>0</v>
      </c>
      <c r="K52" s="217"/>
      <c r="L52" s="217"/>
      <c r="M52" s="217"/>
      <c r="N52" s="217"/>
      <c r="O52" s="216"/>
      <c r="P52" s="216">
        <v>0</v>
      </c>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v>0</v>
      </c>
      <c r="AT52" s="220">
        <v>0</v>
      </c>
      <c r="AU52" s="220">
        <v>0</v>
      </c>
      <c r="AV52" s="220">
        <v>0</v>
      </c>
      <c r="AW52" s="297"/>
    </row>
    <row r="53" spans="2:49" ht="25.5" x14ac:dyDescent="0.2">
      <c r="B53" s="239" t="s">
        <v>268</v>
      </c>
      <c r="C53" s="203" t="s">
        <v>88</v>
      </c>
      <c r="D53" s="216">
        <v>0</v>
      </c>
      <c r="E53" s="217"/>
      <c r="F53" s="217"/>
      <c r="G53" s="268"/>
      <c r="H53" s="268"/>
      <c r="I53" s="216">
        <v>0</v>
      </c>
      <c r="J53" s="216">
        <v>0</v>
      </c>
      <c r="K53" s="217"/>
      <c r="L53" s="217"/>
      <c r="M53" s="268"/>
      <c r="N53" s="268"/>
      <c r="O53" s="216"/>
      <c r="P53" s="216">
        <v>0</v>
      </c>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v>0</v>
      </c>
      <c r="AT53" s="220">
        <v>0</v>
      </c>
      <c r="AU53" s="220">
        <v>0</v>
      </c>
      <c r="AV53" s="220">
        <v>0</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3883</v>
      </c>
      <c r="E56" s="229">
        <v>3883</v>
      </c>
      <c r="F56" s="229"/>
      <c r="G56" s="229"/>
      <c r="H56" s="229"/>
      <c r="I56" s="228">
        <v>1370</v>
      </c>
      <c r="J56" s="228">
        <v>16781</v>
      </c>
      <c r="K56" s="229">
        <v>16781</v>
      </c>
      <c r="L56" s="229"/>
      <c r="M56" s="229"/>
      <c r="N56" s="229"/>
      <c r="O56" s="228"/>
      <c r="P56" s="228">
        <v>14607</v>
      </c>
      <c r="Q56" s="229">
        <v>14222</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v>0</v>
      </c>
      <c r="AT56" s="230">
        <v>29058</v>
      </c>
      <c r="AU56" s="230">
        <v>0</v>
      </c>
      <c r="AV56" s="230">
        <v>40529</v>
      </c>
      <c r="AW56" s="288"/>
    </row>
    <row r="57" spans="2:49" x14ac:dyDescent="0.2">
      <c r="B57" s="245" t="s">
        <v>272</v>
      </c>
      <c r="C57" s="203" t="s">
        <v>25</v>
      </c>
      <c r="D57" s="231">
        <v>6561</v>
      </c>
      <c r="E57" s="232">
        <v>6561</v>
      </c>
      <c r="F57" s="232"/>
      <c r="G57" s="232"/>
      <c r="H57" s="232"/>
      <c r="I57" s="231">
        <v>2084</v>
      </c>
      <c r="J57" s="231">
        <v>29829</v>
      </c>
      <c r="K57" s="232">
        <v>28715</v>
      </c>
      <c r="L57" s="232"/>
      <c r="M57" s="232"/>
      <c r="N57" s="232"/>
      <c r="O57" s="231"/>
      <c r="P57" s="231">
        <v>25737</v>
      </c>
      <c r="Q57" s="232">
        <v>26128</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v>0</v>
      </c>
      <c r="AT57" s="233">
        <v>49605</v>
      </c>
      <c r="AU57" s="233">
        <v>0</v>
      </c>
      <c r="AV57" s="233">
        <v>91666</v>
      </c>
      <c r="AW57" s="289"/>
    </row>
    <row r="58" spans="2:49" x14ac:dyDescent="0.2">
      <c r="B58" s="245" t="s">
        <v>273</v>
      </c>
      <c r="C58" s="203" t="s">
        <v>26</v>
      </c>
      <c r="D58" s="309"/>
      <c r="E58" s="310"/>
      <c r="F58" s="310"/>
      <c r="G58" s="310"/>
      <c r="H58" s="310"/>
      <c r="I58" s="309"/>
      <c r="J58" s="231">
        <v>2324</v>
      </c>
      <c r="K58" s="232">
        <v>2324</v>
      </c>
      <c r="L58" s="232"/>
      <c r="M58" s="232"/>
      <c r="N58" s="232"/>
      <c r="O58" s="231"/>
      <c r="P58" s="231">
        <v>373</v>
      </c>
      <c r="Q58" s="232">
        <v>373</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v>0</v>
      </c>
      <c r="AT58" s="233">
        <v>232</v>
      </c>
      <c r="AU58" s="233">
        <v>0</v>
      </c>
      <c r="AV58" s="233">
        <v>20</v>
      </c>
      <c r="AW58" s="289"/>
    </row>
    <row r="59" spans="2:49" x14ac:dyDescent="0.2">
      <c r="B59" s="245" t="s">
        <v>274</v>
      </c>
      <c r="C59" s="203" t="s">
        <v>27</v>
      </c>
      <c r="D59" s="231">
        <v>86433</v>
      </c>
      <c r="E59" s="232">
        <v>86198</v>
      </c>
      <c r="F59" s="232"/>
      <c r="G59" s="232"/>
      <c r="H59" s="232"/>
      <c r="I59" s="231">
        <v>28148</v>
      </c>
      <c r="J59" s="231">
        <v>410156</v>
      </c>
      <c r="K59" s="232">
        <v>397474</v>
      </c>
      <c r="L59" s="232"/>
      <c r="M59" s="232"/>
      <c r="N59" s="232"/>
      <c r="O59" s="231"/>
      <c r="P59" s="231">
        <v>315214</v>
      </c>
      <c r="Q59" s="232">
        <v>319074</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v>0</v>
      </c>
      <c r="AT59" s="233">
        <v>573946</v>
      </c>
      <c r="AU59" s="233">
        <v>0</v>
      </c>
      <c r="AV59" s="233">
        <v>1094684</v>
      </c>
      <c r="AW59" s="289"/>
    </row>
    <row r="60" spans="2:49" x14ac:dyDescent="0.2">
      <c r="B60" s="245" t="s">
        <v>275</v>
      </c>
      <c r="C60" s="203"/>
      <c r="D60" s="234">
        <f t="shared" ref="D60:AC60" si="0">D$59/12</f>
        <v>7202.75</v>
      </c>
      <c r="E60" s="235">
        <f t="shared" si="0"/>
        <v>7183.166666666667</v>
      </c>
      <c r="F60" s="235">
        <f t="shared" si="0"/>
        <v>0</v>
      </c>
      <c r="G60" s="235">
        <f t="shared" si="0"/>
        <v>0</v>
      </c>
      <c r="H60" s="235">
        <f t="shared" si="0"/>
        <v>0</v>
      </c>
      <c r="I60" s="234">
        <f t="shared" si="0"/>
        <v>2345.6666666666665</v>
      </c>
      <c r="J60" s="234">
        <f t="shared" si="0"/>
        <v>34179.666666666664</v>
      </c>
      <c r="K60" s="235">
        <f t="shared" si="0"/>
        <v>33122.833333333336</v>
      </c>
      <c r="L60" s="235">
        <f t="shared" si="0"/>
        <v>0</v>
      </c>
      <c r="M60" s="235">
        <f t="shared" si="0"/>
        <v>0</v>
      </c>
      <c r="N60" s="235">
        <f t="shared" si="0"/>
        <v>0</v>
      </c>
      <c r="O60" s="234">
        <f t="shared" si="0"/>
        <v>0</v>
      </c>
      <c r="P60" s="234">
        <f t="shared" si="0"/>
        <v>26267.833333333332</v>
      </c>
      <c r="Q60" s="235">
        <f t="shared" si="0"/>
        <v>26589.5</v>
      </c>
      <c r="R60" s="235">
        <f t="shared" si="0"/>
        <v>0</v>
      </c>
      <c r="S60" s="235">
        <f t="shared" si="0"/>
        <v>0</v>
      </c>
      <c r="T60" s="235">
        <f t="shared" si="0"/>
        <v>0</v>
      </c>
      <c r="U60" s="234">
        <f t="shared" si="0"/>
        <v>0</v>
      </c>
      <c r="V60" s="235">
        <f t="shared" si="0"/>
        <v>0</v>
      </c>
      <c r="W60" s="235">
        <f t="shared" si="0"/>
        <v>0</v>
      </c>
      <c r="X60" s="234">
        <f t="shared" si="0"/>
        <v>0</v>
      </c>
      <c r="Y60" s="235">
        <f t="shared" si="0"/>
        <v>0</v>
      </c>
      <c r="Z60" s="235">
        <f t="shared" si="0"/>
        <v>0</v>
      </c>
      <c r="AA60" s="234">
        <f t="shared" si="0"/>
        <v>0</v>
      </c>
      <c r="AB60" s="235">
        <f t="shared" si="0"/>
        <v>0</v>
      </c>
      <c r="AC60" s="235">
        <f t="shared" si="0"/>
        <v>0</v>
      </c>
      <c r="AD60" s="234"/>
      <c r="AE60" s="283"/>
      <c r="AF60" s="283"/>
      <c r="AG60" s="283"/>
      <c r="AH60" s="284"/>
      <c r="AI60" s="234"/>
      <c r="AJ60" s="283"/>
      <c r="AK60" s="283"/>
      <c r="AL60" s="283"/>
      <c r="AM60" s="284"/>
      <c r="AN60" s="234"/>
      <c r="AO60" s="235"/>
      <c r="AP60" s="235"/>
      <c r="AQ60" s="235"/>
      <c r="AR60" s="235"/>
      <c r="AS60" s="234">
        <f>AS$59/12</f>
        <v>0</v>
      </c>
      <c r="AT60" s="236">
        <f>AT$59/12</f>
        <v>47828.833333333336</v>
      </c>
      <c r="AU60" s="236">
        <f>AU$59/12</f>
        <v>0</v>
      </c>
      <c r="AV60" s="236">
        <f>AV$59/12</f>
        <v>91223.666666666672</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0</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39979852</v>
      </c>
      <c r="E5" s="326">
        <v>30799902.728041999</v>
      </c>
      <c r="F5" s="326"/>
      <c r="G5" s="328"/>
      <c r="H5" s="328"/>
      <c r="I5" s="325">
        <v>12183177</v>
      </c>
      <c r="J5" s="325">
        <v>182370414</v>
      </c>
      <c r="K5" s="326">
        <v>175214321.60523221</v>
      </c>
      <c r="L5" s="326"/>
      <c r="M5" s="326"/>
      <c r="N5" s="326"/>
      <c r="O5" s="325"/>
      <c r="P5" s="325">
        <v>130022803</v>
      </c>
      <c r="Q5" s="326">
        <v>134556676.1160692</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v>0</v>
      </c>
      <c r="AT5" s="327">
        <v>19702279</v>
      </c>
      <c r="AU5" s="327">
        <v>0</v>
      </c>
      <c r="AV5" s="369"/>
      <c r="AW5" s="373"/>
    </row>
    <row r="6" spans="2:49" x14ac:dyDescent="0.2">
      <c r="B6" s="343" t="s">
        <v>278</v>
      </c>
      <c r="C6" s="331" t="s">
        <v>8</v>
      </c>
      <c r="D6" s="318">
        <v>417387</v>
      </c>
      <c r="E6" s="319"/>
      <c r="F6" s="319"/>
      <c r="G6" s="320"/>
      <c r="H6" s="320"/>
      <c r="I6" s="318">
        <v>0</v>
      </c>
      <c r="J6" s="318">
        <v>0</v>
      </c>
      <c r="K6" s="319"/>
      <c r="L6" s="319"/>
      <c r="M6" s="319"/>
      <c r="N6" s="319"/>
      <c r="O6" s="318"/>
      <c r="P6" s="318">
        <v>0</v>
      </c>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v>0</v>
      </c>
      <c r="AT6" s="321">
        <v>38974</v>
      </c>
      <c r="AU6" s="321">
        <v>0</v>
      </c>
      <c r="AV6" s="368"/>
      <c r="AW6" s="374"/>
    </row>
    <row r="7" spans="2:49" x14ac:dyDescent="0.2">
      <c r="B7" s="343" t="s">
        <v>279</v>
      </c>
      <c r="C7" s="331" t="s">
        <v>9</v>
      </c>
      <c r="D7" s="318">
        <v>400638</v>
      </c>
      <c r="E7" s="319"/>
      <c r="F7" s="319"/>
      <c r="G7" s="320"/>
      <c r="H7" s="320"/>
      <c r="I7" s="318">
        <v>0</v>
      </c>
      <c r="J7" s="318">
        <v>0</v>
      </c>
      <c r="K7" s="319"/>
      <c r="L7" s="319"/>
      <c r="M7" s="319"/>
      <c r="N7" s="319"/>
      <c r="O7" s="318"/>
      <c r="P7" s="318">
        <v>0</v>
      </c>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v>0</v>
      </c>
      <c r="AT7" s="321">
        <v>37470</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-520037</v>
      </c>
      <c r="E9" s="362"/>
      <c r="F9" s="362"/>
      <c r="G9" s="362"/>
      <c r="H9" s="362"/>
      <c r="I9" s="364"/>
      <c r="J9" s="318">
        <v>211</v>
      </c>
      <c r="K9" s="362"/>
      <c r="L9" s="362"/>
      <c r="M9" s="362"/>
      <c r="N9" s="362"/>
      <c r="O9" s="364"/>
      <c r="P9" s="318">
        <v>1158</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v>0</v>
      </c>
      <c r="F10" s="319"/>
      <c r="G10" s="319"/>
      <c r="H10" s="319"/>
      <c r="I10" s="318">
        <v>0</v>
      </c>
      <c r="J10" s="365"/>
      <c r="K10" s="319">
        <v>0</v>
      </c>
      <c r="L10" s="319"/>
      <c r="M10" s="319"/>
      <c r="N10" s="319"/>
      <c r="O10" s="318"/>
      <c r="P10" s="365"/>
      <c r="Q10" s="319">
        <v>0</v>
      </c>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-3532716</v>
      </c>
      <c r="E11" s="319"/>
      <c r="F11" s="319"/>
      <c r="G11" s="319"/>
      <c r="H11" s="319"/>
      <c r="I11" s="318">
        <v>0</v>
      </c>
      <c r="J11" s="318">
        <v>0</v>
      </c>
      <c r="K11" s="319"/>
      <c r="L11" s="319"/>
      <c r="M11" s="319"/>
      <c r="N11" s="319"/>
      <c r="O11" s="318"/>
      <c r="P11" s="318">
        <v>422</v>
      </c>
      <c r="Q11" s="319">
        <v>0</v>
      </c>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x14ac:dyDescent="0.2">
      <c r="B12" s="343" t="s">
        <v>282</v>
      </c>
      <c r="C12" s="331" t="s">
        <v>44</v>
      </c>
      <c r="D12" s="318">
        <v>-5697893</v>
      </c>
      <c r="E12" s="363"/>
      <c r="F12" s="363"/>
      <c r="G12" s="363"/>
      <c r="H12" s="363"/>
      <c r="I12" s="365"/>
      <c r="J12" s="318">
        <v>28</v>
      </c>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v>0</v>
      </c>
      <c r="AT12" s="321">
        <v>0</v>
      </c>
      <c r="AU12" s="321">
        <v>0</v>
      </c>
      <c r="AV12" s="368"/>
      <c r="AW12" s="374"/>
    </row>
    <row r="13" spans="2:49" x14ac:dyDescent="0.2">
      <c r="B13" s="343" t="s">
        <v>283</v>
      </c>
      <c r="C13" s="331" t="s">
        <v>10</v>
      </c>
      <c r="D13" s="318">
        <v>0</v>
      </c>
      <c r="E13" s="319"/>
      <c r="F13" s="319"/>
      <c r="G13" s="319"/>
      <c r="H13" s="319"/>
      <c r="I13" s="318">
        <v>0</v>
      </c>
      <c r="J13" s="318">
        <v>0</v>
      </c>
      <c r="K13" s="319"/>
      <c r="L13" s="319"/>
      <c r="M13" s="319"/>
      <c r="N13" s="319"/>
      <c r="O13" s="318"/>
      <c r="P13" s="318">
        <v>0</v>
      </c>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
      <c r="B14" s="343" t="s">
        <v>284</v>
      </c>
      <c r="C14" s="331" t="s">
        <v>11</v>
      </c>
      <c r="D14" s="318">
        <v>0</v>
      </c>
      <c r="E14" s="319"/>
      <c r="F14" s="319"/>
      <c r="G14" s="319"/>
      <c r="H14" s="319"/>
      <c r="I14" s="318">
        <v>0</v>
      </c>
      <c r="J14" s="318">
        <v>0</v>
      </c>
      <c r="K14" s="319"/>
      <c r="L14" s="319"/>
      <c r="M14" s="319"/>
      <c r="N14" s="319"/>
      <c r="O14" s="318"/>
      <c r="P14" s="318">
        <v>0</v>
      </c>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c r="E15" s="319">
        <v>3776222.99</v>
      </c>
      <c r="F15" s="319"/>
      <c r="G15" s="319"/>
      <c r="H15" s="319"/>
      <c r="I15" s="318">
        <v>3776223</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v>3845784.08</v>
      </c>
      <c r="F16" s="319"/>
      <c r="G16" s="319"/>
      <c r="H16" s="319"/>
      <c r="I16" s="318">
        <v>3845784</v>
      </c>
      <c r="J16" s="318"/>
      <c r="K16" s="319">
        <v>1343082.51</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c r="F18" s="319"/>
      <c r="G18" s="319"/>
      <c r="H18" s="319"/>
      <c r="I18" s="318">
        <v>0</v>
      </c>
      <c r="J18" s="318">
        <v>0</v>
      </c>
      <c r="K18" s="319"/>
      <c r="L18" s="319"/>
      <c r="M18" s="319"/>
      <c r="N18" s="319"/>
      <c r="O18" s="318"/>
      <c r="P18" s="318">
        <v>0</v>
      </c>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x14ac:dyDescent="0.2">
      <c r="B19" s="345" t="s">
        <v>306</v>
      </c>
      <c r="C19" s="331"/>
      <c r="D19" s="318">
        <v>0</v>
      </c>
      <c r="E19" s="319"/>
      <c r="F19" s="319"/>
      <c r="G19" s="319"/>
      <c r="H19" s="319"/>
      <c r="I19" s="318">
        <v>0</v>
      </c>
      <c r="J19" s="318">
        <v>0</v>
      </c>
      <c r="K19" s="319"/>
      <c r="L19" s="319"/>
      <c r="M19" s="319"/>
      <c r="N19" s="319"/>
      <c r="O19" s="318"/>
      <c r="P19" s="318">
        <v>0</v>
      </c>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v>0</v>
      </c>
      <c r="AT19" s="321">
        <v>-155190</v>
      </c>
      <c r="AU19" s="321">
        <v>0</v>
      </c>
      <c r="AV19" s="368"/>
      <c r="AW19" s="374"/>
    </row>
    <row r="20" spans="2:49" s="5" customFormat="1" ht="25.5" x14ac:dyDescent="0.2">
      <c r="B20" s="345" t="s">
        <v>430</v>
      </c>
      <c r="C20" s="331"/>
      <c r="D20" s="318"/>
      <c r="E20" s="319">
        <v>1160102.3700000001</v>
      </c>
      <c r="F20" s="319"/>
      <c r="G20" s="319"/>
      <c r="H20" s="319"/>
      <c r="I20" s="318">
        <v>1160466</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45148792</v>
      </c>
      <c r="E23" s="362"/>
      <c r="F23" s="362"/>
      <c r="G23" s="362"/>
      <c r="H23" s="362"/>
      <c r="I23" s="364"/>
      <c r="J23" s="318">
        <v>188401506</v>
      </c>
      <c r="K23" s="362"/>
      <c r="L23" s="362"/>
      <c r="M23" s="362"/>
      <c r="N23" s="362"/>
      <c r="O23" s="364"/>
      <c r="P23" s="318">
        <v>66779424</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v>0</v>
      </c>
      <c r="AT23" s="321">
        <v>16180267</v>
      </c>
      <c r="AU23" s="321">
        <v>0</v>
      </c>
      <c r="AV23" s="368"/>
      <c r="AW23" s="374"/>
    </row>
    <row r="24" spans="2:49" ht="28.5" customHeight="1" x14ac:dyDescent="0.2">
      <c r="B24" s="345" t="s">
        <v>114</v>
      </c>
      <c r="C24" s="331"/>
      <c r="D24" s="365"/>
      <c r="E24" s="319">
        <v>37066166.189999998</v>
      </c>
      <c r="F24" s="319"/>
      <c r="G24" s="319"/>
      <c r="H24" s="319"/>
      <c r="I24" s="318">
        <v>22712239</v>
      </c>
      <c r="J24" s="365"/>
      <c r="K24" s="319">
        <v>134200182.18000001</v>
      </c>
      <c r="L24" s="319"/>
      <c r="M24" s="319"/>
      <c r="N24" s="319"/>
      <c r="O24" s="318"/>
      <c r="P24" s="365"/>
      <c r="Q24" s="319">
        <v>117211063.54000001</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4609298</v>
      </c>
      <c r="E26" s="362"/>
      <c r="F26" s="362"/>
      <c r="G26" s="362"/>
      <c r="H26" s="362"/>
      <c r="I26" s="364"/>
      <c r="J26" s="318">
        <v>-39430542</v>
      </c>
      <c r="K26" s="362"/>
      <c r="L26" s="362"/>
      <c r="M26" s="362"/>
      <c r="N26" s="362"/>
      <c r="O26" s="364"/>
      <c r="P26" s="318">
        <v>63149745</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v>0</v>
      </c>
      <c r="AT26" s="321">
        <v>2427602</v>
      </c>
      <c r="AU26" s="321">
        <v>0</v>
      </c>
      <c r="AV26" s="368"/>
      <c r="AW26" s="374"/>
    </row>
    <row r="27" spans="2:49" s="5" customFormat="1" ht="25.5" x14ac:dyDescent="0.2">
      <c r="B27" s="345" t="s">
        <v>85</v>
      </c>
      <c r="C27" s="331"/>
      <c r="D27" s="365"/>
      <c r="E27" s="319">
        <v>1129703.3910000001</v>
      </c>
      <c r="F27" s="319"/>
      <c r="G27" s="319"/>
      <c r="H27" s="319"/>
      <c r="I27" s="318">
        <v>861525</v>
      </c>
      <c r="J27" s="365"/>
      <c r="K27" s="319">
        <v>1144913.3661013024</v>
      </c>
      <c r="L27" s="319"/>
      <c r="M27" s="319"/>
      <c r="N27" s="319"/>
      <c r="O27" s="318"/>
      <c r="P27" s="365"/>
      <c r="Q27" s="319">
        <v>902018.49563608493</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10972670</v>
      </c>
      <c r="E28" s="363"/>
      <c r="F28" s="363"/>
      <c r="G28" s="363"/>
      <c r="H28" s="363"/>
      <c r="I28" s="365"/>
      <c r="J28" s="318">
        <v>17792362</v>
      </c>
      <c r="K28" s="363"/>
      <c r="L28" s="363"/>
      <c r="M28" s="363"/>
      <c r="N28" s="363"/>
      <c r="O28" s="365"/>
      <c r="P28" s="318">
        <v>17901836</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v>0</v>
      </c>
      <c r="AT28" s="321">
        <v>3113674</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v>258145</v>
      </c>
      <c r="K30" s="362"/>
      <c r="L30" s="362"/>
      <c r="M30" s="362"/>
      <c r="N30" s="362"/>
      <c r="O30" s="364"/>
      <c r="P30" s="318">
        <v>4494</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v>0</v>
      </c>
      <c r="AT30" s="321">
        <v>644165</v>
      </c>
      <c r="AU30" s="321">
        <v>0</v>
      </c>
      <c r="AV30" s="368"/>
      <c r="AW30" s="374"/>
    </row>
    <row r="31" spans="2:49" s="5" customFormat="1" ht="25.5" x14ac:dyDescent="0.2">
      <c r="B31" s="345" t="s">
        <v>84</v>
      </c>
      <c r="C31" s="331"/>
      <c r="D31" s="365"/>
      <c r="E31" s="319"/>
      <c r="F31" s="319"/>
      <c r="G31" s="319"/>
      <c r="H31" s="319"/>
      <c r="I31" s="318">
        <v>0</v>
      </c>
      <c r="J31" s="365"/>
      <c r="K31" s="319">
        <v>99439.15</v>
      </c>
      <c r="L31" s="319"/>
      <c r="M31" s="319"/>
      <c r="N31" s="319"/>
      <c r="O31" s="318"/>
      <c r="P31" s="365"/>
      <c r="Q31" s="319">
        <v>-5891.28</v>
      </c>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v>158493</v>
      </c>
      <c r="K32" s="363"/>
      <c r="L32" s="363"/>
      <c r="M32" s="363"/>
      <c r="N32" s="363"/>
      <c r="O32" s="365"/>
      <c r="P32" s="318">
        <v>10386</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v>0</v>
      </c>
      <c r="AT32" s="321">
        <v>605974</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1283959</v>
      </c>
      <c r="E34" s="362"/>
      <c r="F34" s="362"/>
      <c r="G34" s="362"/>
      <c r="H34" s="362"/>
      <c r="I34" s="364"/>
      <c r="J34" s="318">
        <v>0</v>
      </c>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v>0</v>
      </c>
      <c r="AT34" s="321">
        <v>3436</v>
      </c>
      <c r="AU34" s="321">
        <v>0</v>
      </c>
      <c r="AV34" s="368"/>
      <c r="AW34" s="374"/>
    </row>
    <row r="35" spans="2:49" s="5" customFormat="1" x14ac:dyDescent="0.2">
      <c r="B35" s="345" t="s">
        <v>91</v>
      </c>
      <c r="C35" s="331"/>
      <c r="D35" s="365"/>
      <c r="E35" s="319">
        <v>1283959.45</v>
      </c>
      <c r="F35" s="319"/>
      <c r="G35" s="319"/>
      <c r="H35" s="319"/>
      <c r="I35" s="318">
        <v>0</v>
      </c>
      <c r="J35" s="365"/>
      <c r="K35" s="319"/>
      <c r="L35" s="319"/>
      <c r="M35" s="319"/>
      <c r="N35" s="319"/>
      <c r="O35" s="318"/>
      <c r="P35" s="365"/>
      <c r="Q35" s="319">
        <v>0</v>
      </c>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13207241</v>
      </c>
      <c r="E36" s="319">
        <v>13207240.880000001</v>
      </c>
      <c r="F36" s="319"/>
      <c r="G36" s="319"/>
      <c r="H36" s="319"/>
      <c r="I36" s="318">
        <v>0</v>
      </c>
      <c r="J36" s="318">
        <v>0</v>
      </c>
      <c r="K36" s="319"/>
      <c r="L36" s="319"/>
      <c r="M36" s="319"/>
      <c r="N36" s="319"/>
      <c r="O36" s="318"/>
      <c r="P36" s="318">
        <v>0</v>
      </c>
      <c r="Q36" s="319">
        <v>0</v>
      </c>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v>0</v>
      </c>
      <c r="AT36" s="321">
        <v>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-520037</v>
      </c>
      <c r="E38" s="362"/>
      <c r="F38" s="362"/>
      <c r="G38" s="362"/>
      <c r="H38" s="362"/>
      <c r="I38" s="364"/>
      <c r="J38" s="318">
        <v>211</v>
      </c>
      <c r="K38" s="362"/>
      <c r="L38" s="362"/>
      <c r="M38" s="362"/>
      <c r="N38" s="362"/>
      <c r="O38" s="364"/>
      <c r="P38" s="318">
        <v>1158</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15" customHeight="1" x14ac:dyDescent="0.2">
      <c r="B39" s="345" t="s">
        <v>86</v>
      </c>
      <c r="C39" s="331"/>
      <c r="D39" s="365"/>
      <c r="E39" s="319">
        <v>0</v>
      </c>
      <c r="F39" s="319"/>
      <c r="G39" s="319"/>
      <c r="H39" s="319"/>
      <c r="I39" s="318">
        <v>0</v>
      </c>
      <c r="J39" s="365"/>
      <c r="K39" s="319">
        <v>0</v>
      </c>
      <c r="L39" s="319"/>
      <c r="M39" s="319"/>
      <c r="N39" s="319"/>
      <c r="O39" s="318"/>
      <c r="P39" s="365"/>
      <c r="Q39" s="319">
        <v>0</v>
      </c>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-3532716</v>
      </c>
      <c r="E41" s="362"/>
      <c r="F41" s="362"/>
      <c r="G41" s="362"/>
      <c r="H41" s="362"/>
      <c r="I41" s="364"/>
      <c r="J41" s="318">
        <v>0</v>
      </c>
      <c r="K41" s="362"/>
      <c r="L41" s="362"/>
      <c r="M41" s="362"/>
      <c r="N41" s="362"/>
      <c r="O41" s="364"/>
      <c r="P41" s="318">
        <v>422</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v>0</v>
      </c>
      <c r="AT41" s="321">
        <v>0</v>
      </c>
      <c r="AU41" s="321">
        <v>0</v>
      </c>
      <c r="AV41" s="368"/>
      <c r="AW41" s="374"/>
    </row>
    <row r="42" spans="2:49" s="5" customFormat="1" ht="25.5" x14ac:dyDescent="0.2">
      <c r="B42" s="345" t="s">
        <v>92</v>
      </c>
      <c r="C42" s="331"/>
      <c r="D42" s="365"/>
      <c r="E42" s="319"/>
      <c r="F42" s="319"/>
      <c r="G42" s="319"/>
      <c r="H42" s="319"/>
      <c r="I42" s="318">
        <v>0</v>
      </c>
      <c r="J42" s="365"/>
      <c r="K42" s="319"/>
      <c r="L42" s="319"/>
      <c r="M42" s="319"/>
      <c r="N42" s="319"/>
      <c r="O42" s="318"/>
      <c r="P42" s="365"/>
      <c r="Q42" s="319">
        <v>0</v>
      </c>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-5697893</v>
      </c>
      <c r="E43" s="363"/>
      <c r="F43" s="363"/>
      <c r="G43" s="363"/>
      <c r="H43" s="363"/>
      <c r="I43" s="365"/>
      <c r="J43" s="318">
        <v>28</v>
      </c>
      <c r="K43" s="363"/>
      <c r="L43" s="363"/>
      <c r="M43" s="363"/>
      <c r="N43" s="363"/>
      <c r="O43" s="365"/>
      <c r="P43" s="318">
        <v>0</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c r="F45" s="319"/>
      <c r="G45" s="319"/>
      <c r="H45" s="319"/>
      <c r="I45" s="318">
        <v>0</v>
      </c>
      <c r="J45" s="318">
        <v>0</v>
      </c>
      <c r="K45" s="319"/>
      <c r="L45" s="319"/>
      <c r="M45" s="319"/>
      <c r="N45" s="319"/>
      <c r="O45" s="318"/>
      <c r="P45" s="318">
        <v>0</v>
      </c>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x14ac:dyDescent="0.2">
      <c r="B46" s="343" t="s">
        <v>116</v>
      </c>
      <c r="C46" s="331" t="s">
        <v>31</v>
      </c>
      <c r="D46" s="318">
        <v>0</v>
      </c>
      <c r="E46" s="319"/>
      <c r="F46" s="319"/>
      <c r="G46" s="319"/>
      <c r="H46" s="319"/>
      <c r="I46" s="318">
        <v>0</v>
      </c>
      <c r="J46" s="318">
        <v>0</v>
      </c>
      <c r="K46" s="319"/>
      <c r="L46" s="319"/>
      <c r="M46" s="319"/>
      <c r="N46" s="319"/>
      <c r="O46" s="318"/>
      <c r="P46" s="318">
        <v>0</v>
      </c>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188875</v>
      </c>
      <c r="E49" s="319">
        <v>692005.60000000009</v>
      </c>
      <c r="F49" s="319"/>
      <c r="G49" s="319"/>
      <c r="H49" s="319"/>
      <c r="I49" s="318">
        <v>403068</v>
      </c>
      <c r="J49" s="318">
        <v>654211</v>
      </c>
      <c r="K49" s="319">
        <v>3265610.3367865556</v>
      </c>
      <c r="L49" s="319"/>
      <c r="M49" s="319"/>
      <c r="N49" s="319"/>
      <c r="O49" s="318"/>
      <c r="P49" s="318">
        <v>906370</v>
      </c>
      <c r="Q49" s="319">
        <v>2752349.2206020742</v>
      </c>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v>0</v>
      </c>
      <c r="AT49" s="321">
        <v>-8820</v>
      </c>
      <c r="AU49" s="321">
        <v>0</v>
      </c>
      <c r="AV49" s="368"/>
      <c r="AW49" s="374"/>
    </row>
    <row r="50" spans="2:49" x14ac:dyDescent="0.2">
      <c r="B50" s="343" t="s">
        <v>119</v>
      </c>
      <c r="C50" s="331" t="s">
        <v>34</v>
      </c>
      <c r="D50" s="318">
        <v>154148</v>
      </c>
      <c r="E50" s="363"/>
      <c r="F50" s="363"/>
      <c r="G50" s="363"/>
      <c r="H50" s="363"/>
      <c r="I50" s="365"/>
      <c r="J50" s="318">
        <v>785605</v>
      </c>
      <c r="K50" s="363"/>
      <c r="L50" s="363"/>
      <c r="M50" s="363"/>
      <c r="N50" s="363"/>
      <c r="O50" s="365"/>
      <c r="P50" s="318">
        <v>356370</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v>0</v>
      </c>
      <c r="AT50" s="321">
        <v>7731</v>
      </c>
      <c r="AU50" s="321">
        <v>0</v>
      </c>
      <c r="AV50" s="368"/>
      <c r="AW50" s="374"/>
    </row>
    <row r="51" spans="2:49" s="5" customFormat="1" x14ac:dyDescent="0.2">
      <c r="B51" s="343" t="s">
        <v>299</v>
      </c>
      <c r="C51" s="331"/>
      <c r="D51" s="318"/>
      <c r="E51" s="319"/>
      <c r="F51" s="319"/>
      <c r="G51" s="319"/>
      <c r="H51" s="319"/>
      <c r="I51" s="318">
        <v>0</v>
      </c>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c r="F52" s="319"/>
      <c r="G52" s="319"/>
      <c r="H52" s="319"/>
      <c r="I52" s="318">
        <v>0</v>
      </c>
      <c r="J52" s="318">
        <v>0</v>
      </c>
      <c r="K52" s="319"/>
      <c r="L52" s="319"/>
      <c r="M52" s="319"/>
      <c r="N52" s="319"/>
      <c r="O52" s="318"/>
      <c r="P52" s="318">
        <v>0</v>
      </c>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v>0</v>
      </c>
      <c r="E53" s="319"/>
      <c r="F53" s="319"/>
      <c r="G53" s="319"/>
      <c r="H53" s="319"/>
      <c r="I53" s="318">
        <v>0</v>
      </c>
      <c r="J53" s="318">
        <v>0</v>
      </c>
      <c r="K53" s="319">
        <v>-906304.26535956177</v>
      </c>
      <c r="L53" s="319"/>
      <c r="M53" s="319"/>
      <c r="N53" s="319"/>
      <c r="O53" s="318"/>
      <c r="P53" s="318">
        <v>0</v>
      </c>
      <c r="Q53" s="319">
        <v>1865948.0427635012</v>
      </c>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f>D23+D26-D28+D30-D32+D34-D36+D38+D41-D43+D45+D46-D47-D49+D50+D51+D52+D53</f>
        <v>28472551</v>
      </c>
      <c r="E54" s="323">
        <f>E24+E27+E31+E35-E36+E39+E42+E45+E46-E49+E51+E52+E53</f>
        <v>25580582.550999999</v>
      </c>
      <c r="F54" s="323">
        <f>F24+F27+F31+F35-F36+F39+F42+F45+F46-F49+F51+F52+F53</f>
        <v>0</v>
      </c>
      <c r="G54" s="323">
        <f>G24+G27+G31+G35-G36+G39+G42+G45+G46-G49+G51+G52+G53</f>
        <v>0</v>
      </c>
      <c r="H54" s="323">
        <f>H24+H27+H31+H35-H36+H39+H42+H45+H46-H49+H51+H52+H53</f>
        <v>0</v>
      </c>
      <c r="I54" s="322">
        <f>I24+I27+I31+I35-I36+I39+I42+I45+I46-I49+I51+I52+I53</f>
        <v>23170696</v>
      </c>
      <c r="J54" s="322">
        <f>J23+J26-J28+J30-J32+J34-J36+J38+J41-J43+J45+J46-J47-J49+J50+J51+J52+J53</f>
        <v>131409831</v>
      </c>
      <c r="K54" s="323">
        <f>K24+K27+K31+K35-K36+K39+K42+K45+K46-K49+K51+K52+K53</f>
        <v>131272620.09395519</v>
      </c>
      <c r="L54" s="323">
        <f>L24+L27+L31+L35-L36+L39+L42+L45+L46-L49+L51+L52+L53</f>
        <v>0</v>
      </c>
      <c r="M54" s="323">
        <f>M24+M27+M31+M35-M36+M39+M42+M45+M46-M49+M51+M52+M53</f>
        <v>0</v>
      </c>
      <c r="N54" s="323">
        <f>N24+N27+N31+N35-N36+N39+N42+N45+N46-N49+N51+N52+N53</f>
        <v>0</v>
      </c>
      <c r="O54" s="322">
        <f>O24+O27+O31+O35-O36+O39+O42+O45+O46-O49+O51+O52+O53</f>
        <v>0</v>
      </c>
      <c r="P54" s="322">
        <f>P23+P26-P28+P30-P32+P34-P36+P38+P41-P43+P45+P46-P47-P49+P50+P51+P52+P53</f>
        <v>111473021</v>
      </c>
      <c r="Q54" s="323">
        <f>Q24+Q27+Q31+Q35-Q36+Q39+Q42+Q45+Q46-Q49+Q51+Q52+Q53</f>
        <v>117220789.57779752</v>
      </c>
      <c r="R54" s="323">
        <f>R24+R27+R31+R35-R36+R39+R42+R45+R46-R49+R51+R52+R53</f>
        <v>0</v>
      </c>
      <c r="S54" s="323">
        <f>S24+S27+S31+S35-S36+S39+S42+S45+S46-S49+S51+S52+S53</f>
        <v>0</v>
      </c>
      <c r="T54" s="323">
        <f>T24+T27+T31+T35-T36+T39+T42+T45+T46-T49+T51+T52+T53</f>
        <v>0</v>
      </c>
      <c r="U54" s="322">
        <f>U23+U26-U28+U30-U32+U34-U36+U38+U41-U43+U45+U46-U47-U49+U50+U51+U52+U53</f>
        <v>0</v>
      </c>
      <c r="V54" s="323">
        <f>V24+V27+V31+V35-V36+V39+V42+V45+V46-V49+V51+V52+V53</f>
        <v>0</v>
      </c>
      <c r="W54" s="323">
        <f>W24+W27+W31+W35-W36+W39+W42+W45+W46-W49+W51+W52+W53</f>
        <v>0</v>
      </c>
      <c r="X54" s="322">
        <f>X23+X26-X28+X30-X32+X34-X36+X38+X41-X43+X45+X46-X47-X49+X50+X51+X52+X53</f>
        <v>0</v>
      </c>
      <c r="Y54" s="323">
        <f>Y24+Y27+Y31+Y35-Y36+Y39+Y42+Y45+Y46-Y49+Y51+Y52+Y53</f>
        <v>0</v>
      </c>
      <c r="Z54" s="323">
        <f>Z24+Z27+Z31+Z35-Z36+Z39+Z42+Z45+Z46-Z49+Z51+Z52+Z53</f>
        <v>0</v>
      </c>
      <c r="AA54" s="322">
        <f>AA23+AA26-AA28+AA30-AA32+AA34-AA36+AA38+AA41-AA43+AA45+AA46-AA47-AA49+AA50+AA51+AA52+AA53</f>
        <v>0</v>
      </c>
      <c r="AB54" s="323">
        <f>AB24+AB27+AB31+AB35-AB36+AB39+AB42+AB45+AB46-AB49+AB51+AB52+AB53</f>
        <v>0</v>
      </c>
      <c r="AC54" s="323">
        <f>AC24+AC27+AC31+AC35-AC36+AC39+AC42+AC45+AC46-AC49+AC51+AC52+AC53</f>
        <v>0</v>
      </c>
      <c r="AD54" s="322"/>
      <c r="AE54" s="362"/>
      <c r="AF54" s="362"/>
      <c r="AG54" s="362"/>
      <c r="AH54" s="362"/>
      <c r="AI54" s="322"/>
      <c r="AJ54" s="362"/>
      <c r="AK54" s="362"/>
      <c r="AL54" s="362"/>
      <c r="AM54" s="362"/>
      <c r="AN54" s="322"/>
      <c r="AO54" s="323"/>
      <c r="AP54" s="323"/>
      <c r="AQ54" s="323"/>
      <c r="AR54" s="323"/>
      <c r="AS54" s="322">
        <f>AS23+AS26-AS28+AS30-AS32+AS34-AS36+AS38+AS41-AS43+AS45+AS46-AS47-AS49+AS50+AS51+AS52+AS53</f>
        <v>0</v>
      </c>
      <c r="AT54" s="324">
        <f>AT23+AT26-AT28+AT30-AT32+AT34-AT36+AT38+AT41-AT43+AT45+AT46-AT47-AT49+AT50+AT51+AT52+AT53</f>
        <v>15552373</v>
      </c>
      <c r="AU54" s="324">
        <f>AU23+AU26-AU28+AU30-AU32+AU34-AU36+AU38+AU41-AU43+AU45+AU46-AU47-AU49+AU50+AU51+AU52+AU53</f>
        <v>0</v>
      </c>
      <c r="AV54" s="368"/>
      <c r="AW54" s="374"/>
    </row>
    <row r="55" spans="2:49" ht="25.5" x14ac:dyDescent="0.2">
      <c r="B55" s="348" t="s">
        <v>493</v>
      </c>
      <c r="C55" s="335" t="s">
        <v>28</v>
      </c>
      <c r="D55" s="322">
        <f t="shared" ref="D55:AC55" si="0">MIN(MAX(0,D56),MAX(0,D57))</f>
        <v>38925.160000000003</v>
      </c>
      <c r="E55" s="323">
        <f t="shared" si="0"/>
        <v>38925.160000000003</v>
      </c>
      <c r="F55" s="323">
        <f t="shared" si="0"/>
        <v>0</v>
      </c>
      <c r="G55" s="323">
        <f t="shared" si="0"/>
        <v>0</v>
      </c>
      <c r="H55" s="323">
        <f t="shared" si="0"/>
        <v>0</v>
      </c>
      <c r="I55" s="322">
        <f t="shared" si="0"/>
        <v>15085</v>
      </c>
      <c r="J55" s="322">
        <f t="shared" si="0"/>
        <v>225082.01</v>
      </c>
      <c r="K55" s="323">
        <f t="shared" si="0"/>
        <v>218386.98041590766</v>
      </c>
      <c r="L55" s="323">
        <f t="shared" si="0"/>
        <v>0</v>
      </c>
      <c r="M55" s="323">
        <f t="shared" si="0"/>
        <v>0</v>
      </c>
      <c r="N55" s="323">
        <f t="shared" si="0"/>
        <v>0</v>
      </c>
      <c r="O55" s="322">
        <f t="shared" si="0"/>
        <v>0</v>
      </c>
      <c r="P55" s="322">
        <f t="shared" si="0"/>
        <v>171916.91</v>
      </c>
      <c r="Q55" s="323">
        <f t="shared" si="0"/>
        <v>178006.25958409233</v>
      </c>
      <c r="R55" s="323">
        <f t="shared" si="0"/>
        <v>0</v>
      </c>
      <c r="S55" s="323">
        <f t="shared" si="0"/>
        <v>0</v>
      </c>
      <c r="T55" s="323">
        <f t="shared" si="0"/>
        <v>0</v>
      </c>
      <c r="U55" s="322">
        <f t="shared" si="0"/>
        <v>0</v>
      </c>
      <c r="V55" s="323">
        <f t="shared" si="0"/>
        <v>0</v>
      </c>
      <c r="W55" s="323">
        <f t="shared" si="0"/>
        <v>0</v>
      </c>
      <c r="X55" s="322">
        <f t="shared" si="0"/>
        <v>0</v>
      </c>
      <c r="Y55" s="323">
        <f t="shared" si="0"/>
        <v>0</v>
      </c>
      <c r="Z55" s="323">
        <f t="shared" si="0"/>
        <v>0</v>
      </c>
      <c r="AA55" s="322">
        <f t="shared" si="0"/>
        <v>0</v>
      </c>
      <c r="AB55" s="323">
        <f t="shared" si="0"/>
        <v>0</v>
      </c>
      <c r="AC55" s="323">
        <f t="shared" si="0"/>
        <v>0</v>
      </c>
      <c r="AD55" s="322"/>
      <c r="AE55" s="362"/>
      <c r="AF55" s="362"/>
      <c r="AG55" s="362"/>
      <c r="AH55" s="362"/>
      <c r="AI55" s="322"/>
      <c r="AJ55" s="362"/>
      <c r="AK55" s="362"/>
      <c r="AL55" s="362"/>
      <c r="AM55" s="362"/>
      <c r="AN55" s="322"/>
      <c r="AO55" s="323"/>
      <c r="AP55" s="323"/>
      <c r="AQ55" s="323"/>
      <c r="AR55" s="323"/>
      <c r="AS55" s="322">
        <f>MIN(MAX(0,AS56),MAX(0,AS57))</f>
        <v>0</v>
      </c>
      <c r="AT55" s="324">
        <f>MIN(MAX(0,AT56),MAX(0,AT57))</f>
        <v>0</v>
      </c>
      <c r="AU55" s="324">
        <f>MIN(MAX(0,AU56),MAX(0,AU57))</f>
        <v>0</v>
      </c>
      <c r="AV55" s="368"/>
      <c r="AW55" s="374"/>
    </row>
    <row r="56" spans="2:49" ht="11.85" customHeight="1" x14ac:dyDescent="0.2">
      <c r="B56" s="343" t="s">
        <v>120</v>
      </c>
      <c r="C56" s="335" t="s">
        <v>412</v>
      </c>
      <c r="D56" s="318">
        <v>38925.160000000003</v>
      </c>
      <c r="E56" s="319">
        <v>38925.160000000003</v>
      </c>
      <c r="F56" s="319"/>
      <c r="G56" s="319"/>
      <c r="H56" s="319"/>
      <c r="I56" s="318">
        <v>15085</v>
      </c>
      <c r="J56" s="318">
        <v>225082.01</v>
      </c>
      <c r="K56" s="319">
        <v>218386.98041590766</v>
      </c>
      <c r="L56" s="319"/>
      <c r="M56" s="319"/>
      <c r="N56" s="319"/>
      <c r="O56" s="318"/>
      <c r="P56" s="318">
        <v>171916.91</v>
      </c>
      <c r="Q56" s="319">
        <v>178006.25958409233</v>
      </c>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v>194933</v>
      </c>
      <c r="E57" s="319">
        <v>194933.04</v>
      </c>
      <c r="F57" s="319"/>
      <c r="G57" s="319"/>
      <c r="H57" s="319"/>
      <c r="I57" s="318">
        <v>40670</v>
      </c>
      <c r="J57" s="318">
        <v>652674</v>
      </c>
      <c r="K57" s="319">
        <v>652674.16</v>
      </c>
      <c r="L57" s="319"/>
      <c r="M57" s="319"/>
      <c r="N57" s="319"/>
      <c r="O57" s="318"/>
      <c r="P57" s="318">
        <v>887090</v>
      </c>
      <c r="Q57" s="319">
        <v>885754.05</v>
      </c>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v>0</v>
      </c>
      <c r="AT57" s="321">
        <v>198140</v>
      </c>
      <c r="AU57" s="321">
        <v>0</v>
      </c>
      <c r="AV57" s="321">
        <v>0</v>
      </c>
      <c r="AW57" s="374"/>
    </row>
    <row r="58" spans="2:49" s="5" customFormat="1" x14ac:dyDescent="0.2">
      <c r="B58" s="351" t="s">
        <v>494</v>
      </c>
      <c r="C58" s="352"/>
      <c r="D58" s="353"/>
      <c r="E58" s="354">
        <v>301071</v>
      </c>
      <c r="F58" s="354"/>
      <c r="G58" s="354"/>
      <c r="H58" s="354"/>
      <c r="I58" s="353">
        <v>409713</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68877960.920000002</v>
      </c>
      <c r="D5" s="403">
        <v>84153910.379999995</v>
      </c>
      <c r="E5" s="454"/>
      <c r="F5" s="454"/>
      <c r="G5" s="448"/>
      <c r="H5" s="402">
        <v>225705264.59999999</v>
      </c>
      <c r="I5" s="403">
        <v>193492383.47999999</v>
      </c>
      <c r="J5" s="454"/>
      <c r="K5" s="454"/>
      <c r="L5" s="448"/>
      <c r="M5" s="402">
        <v>154742167.40000001</v>
      </c>
      <c r="N5" s="403">
        <v>139600305.74000001</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68895738.126000002</v>
      </c>
      <c r="D6" s="398">
        <v>82952762.413000003</v>
      </c>
      <c r="E6" s="400">
        <f>SUM('Pt 1 Summary of Data'!E$12,'Pt 1 Summary of Data'!E$22)+SUM('Pt 1 Summary of Data'!G$12,'Pt 1 Summary of Data'!G$22)-SUM('Pt 1 Summary of Data'!H$12,'Pt 1 Summary of Data'!H$22)</f>
        <v>25619507.710999999</v>
      </c>
      <c r="F6" s="400">
        <f t="shared" ref="F6:F11" si="0">SUM(C6:E6)</f>
        <v>177468008.25</v>
      </c>
      <c r="G6" s="401">
        <f>SUM('Pt 1 Summary of Data'!I$12,'Pt 1 Summary of Data'!I$22)</f>
        <v>23185781</v>
      </c>
      <c r="H6" s="397">
        <v>225339075.68974197</v>
      </c>
      <c r="I6" s="398">
        <v>190916275.06501287</v>
      </c>
      <c r="J6" s="400">
        <f>SUM('Pt 1 Summary of Data'!K$12,'Pt 1 Summary of Data'!K$22)+SUM('Pt 1 Summary of Data'!M$12,'Pt 1 Summary of Data'!M$22)-SUM('Pt 1 Summary of Data'!N$12,'Pt 1 Summary of Data'!N$22)</f>
        <v>131491007.0743711</v>
      </c>
      <c r="K6" s="400">
        <f>SUM(H6:J6)</f>
        <v>547746357.82912588</v>
      </c>
      <c r="L6" s="401">
        <f>SUM('Pt 1 Summary of Data'!O$12,'Pt 1 Summary of Data'!O$22)</f>
        <v>0</v>
      </c>
      <c r="M6" s="397">
        <v>155467894.10717773</v>
      </c>
      <c r="N6" s="398">
        <v>139571924.56123638</v>
      </c>
      <c r="O6" s="400">
        <f>SUM('Pt 1 Summary of Data'!Q$12,'Pt 1 Summary of Data'!Q$22)+SUM('Pt 1 Summary of Data'!S$12,'Pt 1 Summary of Data'!S$22)-SUM('Pt 1 Summary of Data'!T$12,'Pt 1 Summary of Data'!T$22)</f>
        <v>117398795.83738162</v>
      </c>
      <c r="P6" s="400">
        <f>SUM(M6:O6)</f>
        <v>412438614.50579572</v>
      </c>
      <c r="Q6" s="397"/>
      <c r="R6" s="398"/>
      <c r="S6" s="400">
        <f>SUM('Pt 1 Summary of Data'!V$12,'Pt 1 Summary of Data'!V$22)</f>
        <v>0</v>
      </c>
      <c r="T6" s="400">
        <f>SUM(Q6:S6)</f>
        <v>0</v>
      </c>
      <c r="U6" s="397"/>
      <c r="V6" s="398"/>
      <c r="W6" s="400">
        <f>SUM('Pt 1 Summary of Data'!Y$12,'Pt 1 Summary of Data'!Y$22)</f>
        <v>0</v>
      </c>
      <c r="X6" s="400">
        <f>SUM(U6:W6)</f>
        <v>0</v>
      </c>
      <c r="Y6" s="397"/>
      <c r="Z6" s="398"/>
      <c r="AA6" s="400">
        <f>SUM('Pt 1 Summary of Data'!AB$12,'Pt 1 Summary of Data'!AB$22)</f>
        <v>0</v>
      </c>
      <c r="AB6" s="400">
        <f>SUM(Y6:AA6)</f>
        <v>0</v>
      </c>
      <c r="AC6" s="443"/>
      <c r="AD6" s="441"/>
      <c r="AE6" s="441"/>
      <c r="AF6" s="441"/>
      <c r="AG6" s="443"/>
      <c r="AH6" s="441"/>
      <c r="AI6" s="441"/>
      <c r="AJ6" s="441"/>
      <c r="AK6" s="397"/>
      <c r="AL6" s="398"/>
      <c r="AM6" s="400"/>
      <c r="AN6" s="430"/>
    </row>
    <row r="7" spans="1:40" x14ac:dyDescent="0.2">
      <c r="B7" s="415" t="s">
        <v>310</v>
      </c>
      <c r="C7" s="397">
        <v>1747340.29</v>
      </c>
      <c r="D7" s="398">
        <v>1149690.3700000001</v>
      </c>
      <c r="E7" s="400">
        <f>SUM('Pt 1 Summary of Data'!E$37:E$41)+SUM('Pt 1 Summary of Data'!G$37:G$41)-SUM('Pt 1 Summary of Data'!H$37:H$41)+MAX(0,MIN('Pt 1 Summary of Data'!E$42+'Pt 1 Summary of Data'!G$42-'Pt 1 Summary of Data'!H$42,0.3%*('Pt 1 Summary of Data'!E$5+'Pt 1 Summary of Data'!G$5-'Pt 1 Summary of Data'!H$5-SUM(E$9:E$11))))</f>
        <v>470377.09</v>
      </c>
      <c r="F7" s="400">
        <f t="shared" si="0"/>
        <v>3367407.75</v>
      </c>
      <c r="G7" s="401">
        <f>SUM('Pt 1 Summary of Data'!I$37:I$41)+MAX(0,MIN(VALUE('Pt 1 Summary of Data'!I$42),0.3%*('Pt 1 Summary of Data'!I$5-SUM(G$9:G$10))))</f>
        <v>163866</v>
      </c>
      <c r="H7" s="397">
        <v>5338473.53</v>
      </c>
      <c r="I7" s="398">
        <v>4001456.72</v>
      </c>
      <c r="J7" s="400">
        <f>SUM('Pt 1 Summary of Data'!K$37:K$41)+SUM('Pt 1 Summary of Data'!M$37:M$41)-SUM('Pt 1 Summary of Data'!N$37:N$41)+MAX(0,MIN('Pt 1 Summary of Data'!K$42+'Pt 1 Summary of Data'!M$42-'Pt 1 Summary of Data'!N$42,0.3%*('Pt 1 Summary of Data'!K$5+'Pt 1 Summary of Data'!M$5-'Pt 1 Summary of Data'!N$5-SUM(J$10:J$11))))</f>
        <v>2086944.6688515623</v>
      </c>
      <c r="K7" s="400">
        <f>SUM(H7:J7)</f>
        <v>11426874.918851562</v>
      </c>
      <c r="L7" s="401">
        <f>SUM('Pt 1 Summary of Data'!O$37:O$41)+MAX(0,MIN(VALUE('Pt 1 Summary of Data'!O$42),0.3%*('Pt 1 Summary of Data'!O$5-L$10)))</f>
        <v>0</v>
      </c>
      <c r="M7" s="397">
        <v>3423516.42</v>
      </c>
      <c r="N7" s="398">
        <v>2663077.65</v>
      </c>
      <c r="O7" s="400">
        <f>SUM('Pt 1 Summary of Data'!Q$37:Q$41)+SUM('Pt 1 Summary of Data'!S$37:S$41)-SUM('Pt 1 Summary of Data'!T$37:T$41)+MAX(0,MIN('Pt 1 Summary of Data'!Q$42+'Pt 1 Summary of Data'!S$42-'Pt 1 Summary of Data'!T$42,0.3%*('Pt 1 Summary of Data'!Q$5+'Pt 1 Summary of Data'!S$5-'Pt 1 Summary of Data'!T$5)))</f>
        <v>2223092.8711484382</v>
      </c>
      <c r="P7" s="400">
        <f>SUM(M7:O7)</f>
        <v>8309686.9411484385</v>
      </c>
      <c r="Q7" s="397"/>
      <c r="R7" s="398"/>
      <c r="S7" s="400">
        <f>SUM('Pt 1 Summary of Data'!V$37:V$41)+MAX(0,MIN('Pt 1 Summary of Data'!V$42,0.3%*'Pt 1 Summary of Data'!V$5))</f>
        <v>0</v>
      </c>
      <c r="T7" s="400">
        <f>SUM(Q7:S7)</f>
        <v>0</v>
      </c>
      <c r="U7" s="397"/>
      <c r="V7" s="398"/>
      <c r="W7" s="400">
        <f>SUM('Pt 1 Summary of Data'!Y$37:Y$41)+MAX(0,MIN('Pt 1 Summary of Data'!Y$42,0.3%*'Pt 1 Summary of Data'!Y$5))</f>
        <v>0</v>
      </c>
      <c r="X7" s="400">
        <f>SUM(U7:W7)</f>
        <v>0</v>
      </c>
      <c r="Y7" s="397"/>
      <c r="Z7" s="398"/>
      <c r="AA7" s="400">
        <f>SUM('Pt 1 Summary of Data'!AB$37:AB$41)+MAX(0,MIN('Pt 1 Summary of Data'!AB$42,0.3%*'Pt 1 Summary of Data'!AB$5))</f>
        <v>0</v>
      </c>
      <c r="AB7" s="400">
        <f>SUM(Y7:AA7)</f>
        <v>0</v>
      </c>
      <c r="AC7" s="443"/>
      <c r="AD7" s="441"/>
      <c r="AE7" s="441"/>
      <c r="AF7" s="441"/>
      <c r="AG7" s="443"/>
      <c r="AH7" s="441"/>
      <c r="AI7" s="441"/>
      <c r="AJ7" s="441"/>
      <c r="AK7" s="397"/>
      <c r="AL7" s="398"/>
      <c r="AM7" s="400"/>
      <c r="AN7" s="430"/>
    </row>
    <row r="8" spans="1:40" x14ac:dyDescent="0.2">
      <c r="B8" s="415" t="s">
        <v>495</v>
      </c>
      <c r="C8" s="444"/>
      <c r="D8" s="398">
        <v>382087.89</v>
      </c>
      <c r="E8" s="400">
        <f>'Pt 2 Premium and Claims'!E58+'Pt 2 Premium and Claims'!G58-'Pt 2 Premium and Claims'!H58</f>
        <v>301071</v>
      </c>
      <c r="F8" s="400">
        <f t="shared" si="0"/>
        <v>683158.89</v>
      </c>
      <c r="G8" s="401">
        <f>'Pt 2 Premium and Claims'!I58</f>
        <v>409713</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8206407.6100000003</v>
      </c>
      <c r="E9" s="400">
        <f>'Pt 2 Premium and Claims'!E$15+'Pt 2 Premium and Claims'!G$15-'Pt 2 Premium and Claims'!H$15</f>
        <v>3776222.99</v>
      </c>
      <c r="F9" s="400">
        <f t="shared" si="0"/>
        <v>11982630.600000001</v>
      </c>
      <c r="G9" s="401">
        <f>'Pt 2 Premium and Claims'!I$15</f>
        <v>3776223</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8268175.79</v>
      </c>
      <c r="E10" s="400">
        <f>'Pt 2 Premium and Claims'!E$16+'Pt 2 Premium and Claims'!G$16-'Pt 2 Premium and Claims'!H$16</f>
        <v>3845784.08</v>
      </c>
      <c r="F10" s="400">
        <f t="shared" si="0"/>
        <v>12113959.870000001</v>
      </c>
      <c r="G10" s="401">
        <f>'Pt 2 Premium and Claims'!I$16</f>
        <v>3845784</v>
      </c>
      <c r="H10" s="443"/>
      <c r="I10" s="398">
        <v>4255065.5199999996</v>
      </c>
      <c r="J10" s="400">
        <f>'Pt 2 Premium and Claims'!K$16+'Pt 2 Premium and Claims'!M$16-'Pt 2 Premium and Claims'!N$16</f>
        <v>1343082.51</v>
      </c>
      <c r="K10" s="400">
        <f>SUM(H10:J10)</f>
        <v>5598148.0299999993</v>
      </c>
      <c r="L10" s="401">
        <f>'Pt 2 Premium and Claims'!O$16</f>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583046.22259999998</v>
      </c>
      <c r="E11" s="400">
        <f>'Pt 2 Premium and Claims'!E$17+'Pt 2 Premium and Claims'!G$17-'Pt 2 Premium and Claims'!H$17</f>
        <v>0</v>
      </c>
      <c r="F11" s="400">
        <f t="shared" si="0"/>
        <v>583046.22259999998</v>
      </c>
      <c r="G11" s="450"/>
      <c r="H11" s="443"/>
      <c r="I11" s="398"/>
      <c r="J11" s="400">
        <f>'Pt 2 Premium and Claims'!K$17+'Pt 2 Premium and Claims'!M$17-'Pt 2 Premium and Claims'!N$17</f>
        <v>0</v>
      </c>
      <c r="K11" s="400">
        <f>SUM(H11:J11)</f>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f>SUM(C$6:C$7)+IF(AND(OR('Company Information'!$C$12="District of Columbia",'Company Information'!$C$12="Massachusetts",'Company Information'!$C$12="Vermont"),SUM($C$6:$F$11,$C$15:$F$16,$C$38:$D$38)&lt;&gt;0),SUM(H$6:H$7),0)</f>
        <v>70643078.416000009</v>
      </c>
      <c r="D12" s="400">
        <f>SUM(D$6:D$7) - SUM(D$8:D$11)+IF(AND(OR('Company Information'!$C$12="District of Columbia",'Company Information'!$C$12="Massachusetts",'Company Information'!$C$12="Vermont"),SUM($C$6:$F$11,$C$15:$F$16,$C$38:$D$38)&lt;&gt;0),SUM(I$6:I$7) - SUM(I$10:I$11),0)</f>
        <v>66662735.27040001</v>
      </c>
      <c r="E12" s="400">
        <f>SUM(E$6:E$7)-SUM(E$8:E$11)+IF(AND(OR('Company Information'!$C$12="District of Columbia",'Company Information'!$C$12="Massachusetts",'Company Information'!$C$12="Vermont"),SUM($C$6:$F$11,$C$15:$F$16,$C$38:$D$38)&lt;&gt;0),SUM(J$6:J$7)-SUM(J$10:J$11),0)</f>
        <v>18166806.730999999</v>
      </c>
      <c r="F12" s="400">
        <f>IFERROR(SUM(C$12:E$12)+C$17*MAX(0,E$50-C$50)+D$17*MAX(0,E$50-D$50),0)</f>
        <v>155472620.41740003</v>
      </c>
      <c r="G12" s="447"/>
      <c r="H12" s="399">
        <f>SUM(H$6:H$7)+IF(AND(OR('Company Information'!$C$12="District of Columbia",'Company Information'!$C$12="Massachusetts",'Company Information'!$C$12="Vermont"),SUM($H$6:$K$11,$H$15:$K$16,$H$38:$I$38)&lt;&gt;0),SUM(C$6:C$7),0)</f>
        <v>230677549.21974197</v>
      </c>
      <c r="I12" s="400">
        <f>SUM(I$6:I$7) - SUM(I$10:I$11)+IF(AND(OR('Company Information'!$C$12="District of Columbia",'Company Information'!$C$12="Massachusetts",'Company Information'!$C$12="Vermont"),SUM($H$6:$K$11,$H$15:$K$16,$H$38:$I$38)&lt;&gt;0),SUM(D$6:D$7) - SUM(D$8:D$11),0)</f>
        <v>190662666.26501286</v>
      </c>
      <c r="J12" s="400">
        <f>SUM(J$6:J$7)-SUM(J$10:J$11)+IF(AND(OR('Company Information'!$C$12="District of Columbia",'Company Information'!$C$12="Massachusetts",'Company Information'!$C$12="Vermont"),SUM($H$6:$K$11,$H$15:$K$16,$H$38:$I$38)&lt;&gt;0),SUM(E$6:E$7)-SUM(E$8:E$11),0)</f>
        <v>132234869.23322266</v>
      </c>
      <c r="K12" s="400">
        <f>IFERROR(SUM(H$12:J$12)+H$17*MAX(0,J$50-H$50)+I$17*MAX(0,J$50-I$50),0)</f>
        <v>553575084.71797752</v>
      </c>
      <c r="L12" s="447"/>
      <c r="M12" s="399">
        <f>SUM(M$6:M$7)</f>
        <v>158891410.52717772</v>
      </c>
      <c r="N12" s="400">
        <f>SUM(N$6:N$7)</f>
        <v>142235002.21123639</v>
      </c>
      <c r="O12" s="400">
        <f>SUM(O$6:O$7)</f>
        <v>119621888.70853005</v>
      </c>
      <c r="P12" s="400">
        <f>SUM(M$12:O$12)+M$17*MAX(0,O$50-M$50)+N$17*MAX(0,O$50-N$50)</f>
        <v>420748301.44694418</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f>1.5*(SUM(Q$6:Q$7)+IF(AND(OR('Company Information'!$C$12="District of Columbia",'Company Information'!$C$12="Massachusetts",'Company Information'!$C$12="Vermont"),SUM($Q$6:$T$7,$Q$15:$T$16,$Q$38:$R$38)&lt;&gt;0),SUM(U$6:U$7),0))</f>
        <v>0</v>
      </c>
      <c r="R13" s="400">
        <f>1.25*(SUM(R$6:R$7)+IF(AND(OR('Company Information'!$C$12="District of Columbia",'Company Information'!$C$12="Massachusetts",'Company Information'!$C$12="Vermont"),SUM($Q$6:$T$7,$Q$15:$T$16,$Q$38:$R$38)&lt;&gt;0),SUM(V$6:V$7),0))</f>
        <v>0</v>
      </c>
      <c r="S13" s="400">
        <f>SUM(S$6:S$7)+IF(AND(OR('Company Information'!$C$12="District of Columbia",'Company Information'!$C$12="Massachusetts",'Company Information'!$C$12="Vermont"),SUM($Q$6:$T$7,$Q$15:$T$16,$Q$38:$R$38)&lt;&gt;0),SUM(W$6:W$7),0)</f>
        <v>0</v>
      </c>
      <c r="T13" s="400">
        <f>IFERROR(SUM(T$6:T$7)+Q$17*MAX(0,S$50-Q$50)+R$17*MAX(0,S$50-R$50)+IF(AND(OR('Company Information'!$C$12="District of Columbia",'Company Information'!$C$12="Massachusetts",'Company Information'!$C$12="Vermont"),SUM($Q$6:$T$7,$Q$15:$T$16,$Q$38:$R$38)&lt;&gt;0),SUM(X$6:X$7),0),0)</f>
        <v>0</v>
      </c>
      <c r="U13" s="399">
        <f>1.5*(SUM(U$6:U$7)+IF(AND(OR('Company Information'!$C$12="District of Columbia",'Company Information'!$C$12="Massachusetts",'Company Information'!$C$12="Vermont"),SUM($U$6:$X$7,$U$15:$X$16,$U$38:$V$38)&lt;&gt;0),SUM(Q$6:Q$7),0))</f>
        <v>0</v>
      </c>
      <c r="V13" s="400">
        <f>1.25*(SUM(V$6:V$7)+IF(AND(OR('Company Information'!$C$12="District of Columbia",'Company Information'!$C$12="Massachusetts",'Company Information'!$C$12="Vermont"),SUM($U$6:$X$7,$U$15:$X$16,$U$38:$V$38)&lt;&gt;0),SUM(R$6:R$7),0))</f>
        <v>0</v>
      </c>
      <c r="W13" s="400">
        <f>SUM(W$6:W$7)+IF(AND(OR('Company Information'!$C$12="District of Columbia",'Company Information'!$C$12="Massachusetts",'Company Information'!$C$12="Vermont"),SUM($U$6:$X$7,$U$15:$X$16,$U$38:$V$38)&lt;&gt;0),SUM(S$6:S$7),0)</f>
        <v>0</v>
      </c>
      <c r="X13" s="400">
        <f>IFERROR(SUM(X$6:X$7)+U$17*MAX(0,W$50-U$50)+V$17*MAX(0,W$50-V$50)+IF(AND(OR('Company Information'!$C$12="District of Columbia",'Company Information'!$C$12="Massachusetts",'Company Information'!$C$12="Vermont"),SUM($U$6:$X$7,$U$15:$X$16,$U$38:$V$38)&lt;&gt;0),SUM(T$6:T$7),0),0)</f>
        <v>0</v>
      </c>
      <c r="Y13" s="399">
        <f>1.5*SUM(Y$6:Y$7)</f>
        <v>0</v>
      </c>
      <c r="Z13" s="400">
        <f>1.25*SUM(Z$6:Z$7)</f>
        <v>0</v>
      </c>
      <c r="AA13" s="400">
        <f>SUM(AA$6:AA$7)</f>
        <v>0</v>
      </c>
      <c r="AB13" s="400">
        <f>SUM(AB$6:AB$7)+Y$17*MAX(0,AA$50-Y$50)+Z$17*MAX(0,AA$50-Z$50)</f>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86777773.329999998</v>
      </c>
      <c r="D15" s="403">
        <v>81787969.420000002</v>
      </c>
      <c r="E15" s="395">
        <f>SUM('Pt 1 Summary of Data'!E$5:E$7)+SUM('Pt 1 Summary of Data'!G$5:G$7)-SUM('Pt 1 Summary of Data'!H$5:H$7)-SUM(E$9:E$11)</f>
        <v>30769477.648042001</v>
      </c>
      <c r="F15" s="395">
        <f>SUM(C15:E15)</f>
        <v>199335220.39804199</v>
      </c>
      <c r="G15" s="396">
        <f>SUM('Pt 1 Summary of Data'!I$5:I$7)-SUM(G$9:G$10)</f>
        <v>12183177</v>
      </c>
      <c r="H15" s="402">
        <v>279150846.69999999</v>
      </c>
      <c r="I15" s="403">
        <v>237082946.86000001</v>
      </c>
      <c r="J15" s="395">
        <f>SUM('Pt 1 Summary of Data'!K$5:K$7)+SUM('Pt 1 Summary of Data'!M$5:M$7)-SUM('Pt 1 Summary of Data'!N$5:N$7)-SUM(J$10:J$11)</f>
        <v>174967317.87523222</v>
      </c>
      <c r="K15" s="395">
        <f>SUM(H15:J15)</f>
        <v>691201111.43523216</v>
      </c>
      <c r="L15" s="396">
        <f>SUM('Pt 1 Summary of Data'!O$5:O$7)-L$10</f>
        <v>0</v>
      </c>
      <c r="M15" s="402">
        <v>169250285.41</v>
      </c>
      <c r="N15" s="403">
        <v>155927307.69</v>
      </c>
      <c r="O15" s="395">
        <f>SUM('Pt 1 Summary of Data'!Q$5:Q$7)+SUM('Pt 1 Summary of Data'!S$5:S$7)-SUM('Pt 1 Summary of Data'!T$5:T$7)+N$56</f>
        <v>134338072.6760692</v>
      </c>
      <c r="P15" s="395">
        <f>SUM(M15:O15)</f>
        <v>459515665.77606922</v>
      </c>
      <c r="Q15" s="402"/>
      <c r="R15" s="403"/>
      <c r="S15" s="395">
        <f>SUM('Pt 1 Summary of Data'!V$5:V$7)+R$56</f>
        <v>0</v>
      </c>
      <c r="T15" s="395">
        <f>SUM(Q15:S15)</f>
        <v>0</v>
      </c>
      <c r="U15" s="402"/>
      <c r="V15" s="403"/>
      <c r="W15" s="395">
        <f>SUM('Pt 1 Summary of Data'!Y$5:Y$7)+V$56</f>
        <v>0</v>
      </c>
      <c r="X15" s="395">
        <f>SUM(U15:W15)</f>
        <v>0</v>
      </c>
      <c r="Y15" s="402"/>
      <c r="Z15" s="403"/>
      <c r="AA15" s="395">
        <f>SUM('Pt 1 Summary of Data'!AB$5:AB$7)+Z$56</f>
        <v>0</v>
      </c>
      <c r="AB15" s="395">
        <f>SUM(Y15:AA15)</f>
        <v>0</v>
      </c>
      <c r="AC15" s="455"/>
      <c r="AD15" s="454"/>
      <c r="AE15" s="454"/>
      <c r="AF15" s="454"/>
      <c r="AG15" s="455"/>
      <c r="AH15" s="454"/>
      <c r="AI15" s="454"/>
      <c r="AJ15" s="454"/>
      <c r="AK15" s="402"/>
      <c r="AL15" s="403"/>
      <c r="AM15" s="395"/>
      <c r="AN15" s="431"/>
    </row>
    <row r="16" spans="1:40" x14ac:dyDescent="0.2">
      <c r="B16" s="415" t="s">
        <v>311</v>
      </c>
      <c r="C16" s="397">
        <v>1396712.04</v>
      </c>
      <c r="D16" s="398">
        <v>3074220.28</v>
      </c>
      <c r="E16" s="400">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f>
        <v>2083164.5070918878</v>
      </c>
      <c r="F16" s="400">
        <f>SUM(C16:E16)</f>
        <v>6554096.8270918876</v>
      </c>
      <c r="G16" s="401">
        <f>SUM('Pt 1 Summary of Data'!I$25:I$28,'Pt 1 Summary of Data'!I$30,'Pt 1 Summary of Data'!I$34:I$35)+IF('Company Information'!$C$15="No",IF(MAX('Pt 1 Summary of Data'!I$31:I$32)=0,MIN('Pt 1 Summary of Data'!I$31:I$32),MAX('Pt 1 Summary of Data'!I$31:I$32)),SUM('Pt 1 Summary of Data'!I$31:I$32))</f>
        <v>870423</v>
      </c>
      <c r="H16" s="397">
        <v>5233216.1399999997</v>
      </c>
      <c r="I16" s="398">
        <v>9399009.1099999994</v>
      </c>
      <c r="J16" s="400">
        <f>SUM('Pt 1 Summary of Data'!K$25:K$28,'Pt 1 Summary of Data'!K$30,'Pt 1 Summary of Data'!K$34:K$35)+SUM('Pt 1 Summary of Data'!M$25:M$28,'Pt 1 Summary of Data'!M$30,'Pt 1 Summary of Data'!M$34:M$35)-SUM('Pt 1 Summary of Data'!N$25:N$28,'Pt 1 Summary of Data'!N$30,'Pt 1 Summary of Data'!N$34:N$35)+IF('Company Information'!$C$15="No",IF(MAX('Pt 1 Summary of Data'!K$31:K$32)=0,MIN('Pt 1 Summary of Data'!K$31:K$32),MAX('Pt 1 Summary of Data'!K$31:K$32))+IF(MAX('Pt 1 Summary of Data'!M$31:M$32)=0,MIN('Pt 1 Summary of Data'!M$31:M$32),MAX('Pt 1 Summary of Data'!M$31:M$32))-IF(MAX('Pt 1 Summary of Data'!N$31:N$32)=0,MIN('Pt 1 Summary of Data'!N$31:N$32),MAX('Pt 1 Summary of Data'!N$31:N$32)),SUM('Pt 1 Summary of Data'!K$31:K$32)+SUM('Pt 1 Summary of Data'!M$31:M$32)-SUM('Pt 1 Summary of Data'!N$31:N$32))</f>
        <v>17016951.561871834</v>
      </c>
      <c r="K16" s="400">
        <f>SUM(H16:J16)</f>
        <v>31649176.811871834</v>
      </c>
      <c r="L16" s="401">
        <f>SUM('Pt 1 Summary of Data'!O$25:O$28,'Pt 1 Summary of Data'!O$30,'Pt 1 Summary of Data'!O$34:O$35)+IF('Company Information'!$C$15="No",IF(MAX('Pt 1 Summary of Data'!O$31:O$32)=0,MIN('Pt 1 Summary of Data'!O$31:O$32),MAX('Pt 1 Summary of Data'!O$31:O$32)),SUM('Pt 1 Summary of Data'!O$31:O$32))</f>
        <v>0</v>
      </c>
      <c r="M16" s="397">
        <v>-4416548.49</v>
      </c>
      <c r="N16" s="398">
        <v>200711.19</v>
      </c>
      <c r="O16" s="400">
        <f>SUM('Pt 1 Summary of Data'!Q$25:Q$28,'Pt 1 Summary of Data'!Q$30,'Pt 1 Summary of Data'!Q$34:Q$35)+SUM('Pt 1 Summary of Data'!S$25:S$28,'Pt 1 Summary of Data'!S$30,'Pt 1 Summary of Data'!S$34:S$35)-SUM('Pt 1 Summary of Data'!T$25:T$28,'Pt 1 Summary of Data'!T$30,'Pt 1 Summary of Data'!T$34:T$35)+IF('Company Information'!$C$15="No",IF(MAX('Pt 1 Summary of Data'!Q$31:Q$32)=0,MIN('Pt 1 Summary of Data'!Q$31:Q$32),MAX('Pt 1 Summary of Data'!Q$31:Q$32))+IF(MAX('Pt 1 Summary of Data'!S$31:S$32)=0,MIN('Pt 1 Summary of Data'!S$31:S$32),MAX('Pt 1 Summary of Data'!S$31:S$32))-IF(MAX('Pt 1 Summary of Data'!T$31:T$32)=0,MIN('Pt 1 Summary of Data'!T$31:T$32),MAX('Pt 1 Summary of Data'!T$31:T$32)),SUM('Pt 1 Summary of Data'!Q$31:Q$32)+SUM('Pt 1 Summary of Data'!S$31:S$32)-SUM('Pt 1 Summary of Data'!T$31:T$32))+N$57</f>
        <v>3066352.5535085052</v>
      </c>
      <c r="P16" s="400">
        <f>SUM(M16:O16)</f>
        <v>-1149484.7464914946</v>
      </c>
      <c r="Q16" s="397"/>
      <c r="R16" s="398"/>
      <c r="S16" s="400">
        <f>SUM('Pt 1 Summary of Data'!V$25:V$28,'Pt 1 Summary of Data'!V$30,'Pt 1 Summary of Data'!V$34:V$35)+IF('Company Information'!$C$15="No",IF(MAX('Pt 1 Summary of Data'!V$31:V$32)=0,MIN('Pt 1 Summary of Data'!V$31:V$32),MAX('Pt 1 Summary of Data'!V$31:V$32)),SUM('Pt 1 Summary of Data'!V$31:V$32))+R$57</f>
        <v>0</v>
      </c>
      <c r="T16" s="400">
        <f>SUM(Q16:S16)</f>
        <v>0</v>
      </c>
      <c r="U16" s="397"/>
      <c r="V16" s="398"/>
      <c r="W16" s="400">
        <f>SUM('Pt 1 Summary of Data'!Y$25:Y$28,'Pt 1 Summary of Data'!Y$30,'Pt 1 Summary of Data'!Y$34:Y$35)+IF('Company Information'!$C$15="No",IF(MAX('Pt 1 Summary of Data'!Y$31:Y$32)=0,MIN('Pt 1 Summary of Data'!Y$31:Y$32),MAX('Pt 1 Summary of Data'!Y$31:Y$32)),SUM('Pt 1 Summary of Data'!Y$31:Y$32))+V$57</f>
        <v>0</v>
      </c>
      <c r="X16" s="400">
        <f>SUM(U16:W16)</f>
        <v>0</v>
      </c>
      <c r="Y16" s="397"/>
      <c r="Z16" s="398"/>
      <c r="AA16" s="400">
        <f>SUM('Pt 1 Summary of Data'!AB$25:AB$28,'Pt 1 Summary of Data'!AB$30,'Pt 1 Summary of Data'!AB$34:AB$35)+IF('Company Information'!$C$15="No",IF(MAX('Pt 1 Summary of Data'!AB$31:AB$32)=0,MIN('Pt 1 Summary of Data'!AB$31:AB$32),MAX('Pt 1 Summary of Data'!AB$31:AB$32)),SUM('Pt 1 Summary of Data'!AB$31:AB$32))+Z$57</f>
        <v>0</v>
      </c>
      <c r="AB16" s="400">
        <f>SUM(Y16:AA16)</f>
        <v>0</v>
      </c>
      <c r="AC16" s="443"/>
      <c r="AD16" s="441"/>
      <c r="AE16" s="441"/>
      <c r="AF16" s="441"/>
      <c r="AG16" s="443"/>
      <c r="AH16" s="441"/>
      <c r="AI16" s="441"/>
      <c r="AJ16" s="441"/>
      <c r="AK16" s="397"/>
      <c r="AL16" s="398"/>
      <c r="AM16" s="400"/>
      <c r="AN16" s="430"/>
    </row>
    <row r="17" spans="1:40" s="65" customFormat="1" x14ac:dyDescent="0.2">
      <c r="A17" s="108"/>
      <c r="B17" s="416" t="s">
        <v>318</v>
      </c>
      <c r="C17" s="399">
        <f>C$15-C$16+IF(AND(OR('Company Information'!$C$12="District of Columbia",'Company Information'!$C$12="Massachusetts",'Company Information'!$C$12="Vermont"),SUM($C$6:$F$11,$C$15:$F$16,$C$38:$D$38)&lt;&gt;0),H$15-H$16,0)</f>
        <v>85381061.289999992</v>
      </c>
      <c r="D17" s="400">
        <f>D$15-D$16+IF(AND(OR('Company Information'!$C$12="District of Columbia",'Company Information'!$C$12="Massachusetts",'Company Information'!$C$12="Vermont"),SUM($C$6:$F$11,$C$15:$F$16,$C$38:$D$38)&lt;&gt;0),I$15-I$16,0)</f>
        <v>78713749.140000001</v>
      </c>
      <c r="E17" s="400">
        <f>E$15-E$16+IF(AND(OR('Company Information'!$C$12="District of Columbia",'Company Information'!$C$12="Massachusetts",'Company Information'!$C$12="Vermont"),SUM($C$6:$F$11,$C$15:$F$16,$C$38:$D$38)&lt;&gt;0),J$15-J$16,0)</f>
        <v>28686313.140950114</v>
      </c>
      <c r="F17" s="400">
        <f>F$15-F$16+IF(AND(OR('Company Information'!$C$12="District of Columbia",'Company Information'!$C$12="Massachusetts",'Company Information'!$C$12="Vermont"),SUM($C$6:$F$11,$C$15:$F$16,$C$38:$D$38)&lt;&gt;0),K$15-K$16,0)</f>
        <v>192781123.57095009</v>
      </c>
      <c r="G17" s="450"/>
      <c r="H17" s="399">
        <f>H$15-H$16+IF(AND(OR('Company Information'!$C$12="District of Columbia",'Company Information'!$C$12="Massachusetts",'Company Information'!$C$12="Vermont"),SUM($H$6:$K$11,$H$15:$K$16,$H$38:$I$38)&lt;&gt;0),C$15-C$16,0)</f>
        <v>273917630.56</v>
      </c>
      <c r="I17" s="400">
        <f>I$15-I$16+IF(AND(OR('Company Information'!$C$12="District of Columbia",'Company Information'!$C$12="Massachusetts",'Company Information'!$C$12="Vermont"),SUM($H$6:$K$11,$H$15:$K$16,$H$38:$I$38)&lt;&gt;0),D$15-D$16,0)</f>
        <v>227683937.75</v>
      </c>
      <c r="J17" s="400">
        <f>J$15-J$16+IF(AND(OR('Company Information'!$C$12="District of Columbia",'Company Information'!$C$12="Massachusetts",'Company Information'!$C$12="Vermont"),SUM($H$6:$K$11,$H$15:$K$16,$H$38:$I$38)&lt;&gt;0),E$15-E$16,0)</f>
        <v>157950366.31336039</v>
      </c>
      <c r="K17" s="400">
        <f>K$15-K$16+IF(AND(OR('Company Information'!$C$12="District of Columbia",'Company Information'!$C$12="Massachusetts",'Company Information'!$C$12="Vermont"),SUM($H$6:$K$11,$H$15:$K$16,$H$38:$I$38)&lt;&gt;0),F$15-F$16,0)</f>
        <v>659551934.62336028</v>
      </c>
      <c r="L17" s="450"/>
      <c r="M17" s="399">
        <f>M$15-M$16</f>
        <v>173666833.90000001</v>
      </c>
      <c r="N17" s="400">
        <f>N$15-N$16</f>
        <v>155726596.5</v>
      </c>
      <c r="O17" s="400">
        <f>O$15-O$16</f>
        <v>131271720.12256069</v>
      </c>
      <c r="P17" s="400">
        <f>P$15-P$16</f>
        <v>460665150.52256072</v>
      </c>
      <c r="Q17" s="399">
        <f>Q$15-Q$16+IF(AND(OR('Company Information'!$C$12="District of Columbia",'Company Information'!$C$12="Massachusetts",'Company Information'!$C$12="Vermont"),SUM($Q$6:$T$7,$Q$15:$T$16,$Q$38:$R$38)&lt;&gt;0),U$15-U$16,0)</f>
        <v>0</v>
      </c>
      <c r="R17" s="400">
        <f>R$15-R$16+IF(AND(OR('Company Information'!$C$12="District of Columbia",'Company Information'!$C$12="Massachusetts",'Company Information'!$C$12="Vermont"),SUM($Q$6:$T$7,$Q$15:$T$16,$Q$38:$R$38)&lt;&gt;0),V$15-V$16,0)</f>
        <v>0</v>
      </c>
      <c r="S17" s="400">
        <f>S$15-S$16+IF(AND(OR('Company Information'!$C$12="District of Columbia",'Company Information'!$C$12="Massachusetts",'Company Information'!$C$12="Vermont"),SUM($Q$6:$T$7,$Q$15:$T$16,$Q$38:$R$38)&lt;&gt;0),W$15-W$16,0)</f>
        <v>0</v>
      </c>
      <c r="T17" s="400">
        <f>T$15-T$16+IF(AND(OR('Company Information'!$C$12="District of Columbia",'Company Information'!$C$12="Massachusetts",'Company Information'!$C$12="Vermont"),SUM($Q$6:$T$7,$Q$15:$T$16,$Q$38:$R$38)&lt;&gt;0),X$15-X$16,0)</f>
        <v>0</v>
      </c>
      <c r="U17" s="399">
        <f>U$15-U$16+IF(AND(OR('Company Information'!$C$12="District of Columbia",'Company Information'!$C$12="Massachusetts",'Company Information'!$C$12="Vermont"),SUM($U$6:$X$7,$U$15:$X$16,$U$38:$V$38)&lt;&gt;0),Q$15-Q$16,0)</f>
        <v>0</v>
      </c>
      <c r="V17" s="400">
        <f>V$15-V$16+IF(AND(OR('Company Information'!$C$12="District of Columbia",'Company Information'!$C$12="Massachusetts",'Company Information'!$C$12="Vermont"),SUM($U$6:$X$7,$U$15:$X$16,$U$38:$V$38)&lt;&gt;0),R$15-R$16,0)</f>
        <v>0</v>
      </c>
      <c r="W17" s="400">
        <f>W$15-W$16+IF(AND(OR('Company Information'!$C$12="District of Columbia",'Company Information'!$C$12="Massachusetts",'Company Information'!$C$12="Vermont"),SUM($U$6:$X$7,$U$15:$X$16,$U$38:$V$38)&lt;&gt;0),S$15-S$16,0)</f>
        <v>0</v>
      </c>
      <c r="X17" s="400">
        <f>X$15-X$16+IF(AND(OR('Company Information'!$C$12="District of Columbia",'Company Information'!$C$12="Massachusetts",'Company Information'!$C$12="Vermont"),SUM($U$6:$X$7,$U$15:$X$16,$U$38:$V$38)&lt;&gt;0),T$15-T$16,0)</f>
        <v>0</v>
      </c>
      <c r="Y17" s="399">
        <f>Y$15-Y$16</f>
        <v>0</v>
      </c>
      <c r="Z17" s="400">
        <f>Z$15-Z$16</f>
        <v>0</v>
      </c>
      <c r="AA17" s="400">
        <f>AA$15-AA$16</f>
        <v>0</v>
      </c>
      <c r="AB17" s="400">
        <f>AB$15-AB$16</f>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f>SUM(G$6:G$7)-SUM(G$8:G$10)+IF(AND(OR('Company Information'!$C$12="District of Columbia",'Company Information'!$C$12="Massachusetts",'Company Information'!$C$12="Vermont"),SUM($G$6:$G$10,$G$15:$G$16)&lt;&gt;0),SUM(L$6:L$7)-L$10,0)+G$58</f>
        <v>14419990</v>
      </c>
      <c r="H19" s="455"/>
      <c r="I19" s="454"/>
      <c r="J19" s="454"/>
      <c r="K19" s="454"/>
      <c r="L19" s="396">
        <f>SUM(L$6:L$7)-L$10+IF(AND(OR('Company Information'!$C$12="District of Columbia",'Company Information'!$C$12="Massachusetts",'Company Information'!$C$12="Vermont"),SUM($L$6:$L$10,$L$15:$L$16)&lt;&gt;0),SUM(G$6:G$7)-SUM(G$8:G$10),0)+L$58</f>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f>SUM('Pt 1 Summary of Data'!I$44:I$47,'Pt 1 Summary of Data'!I$49:I$51)+IF(AND(OR('Company Information'!$C$12="District of Columbia",'Company Information'!$C$12="Massachusetts",'Company Information'!$C$12="Vermont"),SUM($G$6:$G$10,$G$15:$G$16)&lt;&gt;0),SUM('Pt 1 Summary of Data'!O$44:O$47,'Pt 1 Summary of Data'!O$49:O$51),0)</f>
        <v>1311205</v>
      </c>
      <c r="H20" s="443"/>
      <c r="I20" s="441"/>
      <c r="J20" s="441"/>
      <c r="K20" s="441"/>
      <c r="L20" s="401">
        <f>SUM('Pt 1 Summary of Data'!O$44:O$47,'Pt 1 Summary of Data'!O$49:O$51)+IF(AND(OR('Company Information'!$C$12="District of Columbia",'Company Information'!$C$12="Massachusetts",'Company Information'!$C$12="Vermont"),SUM($L$6:$L$10,$L$15:$L$16)&lt;&gt;0),SUM('Pt 1 Summary of Data'!I$44:I$47,'Pt 1 Summary of Data'!I$49:I$51),0)</f>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f>MAX(G$22,G$23)</f>
        <v>565637.70000000007</v>
      </c>
      <c r="H21" s="443"/>
      <c r="I21" s="441"/>
      <c r="J21" s="441"/>
      <c r="K21" s="441"/>
      <c r="L21" s="401">
        <f>MAX(L$22,L$23)</f>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f>G$15-G$19-G$16-G$20+IF(AND(OR('Company Information'!$C$12="District of Columbia",'Company Information'!$C$12="Massachusetts",'Company Information'!$C$12="Vermont"),SUM($G$6:$G$10,$G$15:$G$16)&lt;&gt;0),L$15-L$16,0)</f>
        <v>-4418441</v>
      </c>
      <c r="H22" s="443"/>
      <c r="I22" s="441"/>
      <c r="J22" s="441"/>
      <c r="K22" s="441"/>
      <c r="L22" s="401">
        <f>L$15-L$19-L$16-L$20+IF(AND(OR('Company Information'!$C$12="District of Columbia",'Company Information'!$C$12="Massachusetts",'Company Information'!$C$12="Vermont"),SUM($L$6:$L$10,$L$15:$L$16)&lt;&gt;0),G$15-G$16,0)</f>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f>(3%+2%)*(G$15-G$16+IF(AND(OR('Company Information'!$C$12="District of Columbia",'Company Information'!$C$12="Massachusetts",'Company Information'!$C$12="Vermont"),SUM($G$6:$G$10,$G$15:$G$16)&lt;&gt;0),L$15-L$16,0))</f>
        <v>565637.70000000007</v>
      </c>
      <c r="H23" s="443"/>
      <c r="I23" s="441"/>
      <c r="J23" s="441"/>
      <c r="K23" s="441"/>
      <c r="L23" s="401">
        <f>(3%+2%)*(L$15-L$16+IF(AND(OR('Company Information'!$C$12="District of Columbia",'Company Information'!$C$12="Massachusetts",'Company Information'!$C$12="Vermont"),SUM($L$6:$L$10,$L$15:$L$16)&lt;&gt;0),G$15-G$16,0))</f>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f>3%*(G$15-G$16+IF(AND(OR('Company Information'!$C$12="District of Columbia",'Company Information'!$C$12="Massachusetts",'Company Information'!$C$12="Vermont"),SUM($G$6:$G$10,$G$15:$G$16)&lt;&gt;0),L$15-L$16,0))</f>
        <v>339382.62</v>
      </c>
      <c r="H24" s="443"/>
      <c r="I24" s="441"/>
      <c r="J24" s="441"/>
      <c r="K24" s="441"/>
      <c r="L24" s="401">
        <f>3%*(L$15-L$16+IF(AND(OR('Company Information'!$C$12="District of Columbia",'Company Information'!$C$12="Massachusetts",'Company Information'!$C$12="Vermont"),SUM($L$6:$L$10,$L$15:$L$16)&lt;&gt;0),G$15-G$16,0))</f>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f>MIN(G$26,G$27)</f>
        <v>2747265.7</v>
      </c>
      <c r="H25" s="443"/>
      <c r="I25" s="441"/>
      <c r="J25" s="441"/>
      <c r="K25" s="441"/>
      <c r="L25" s="401">
        <f>MIN(L$26,L$27)</f>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f>G$20+G$21+G$16+IF(AND(OR('Company Information'!$C$12="District of Columbia",'Company Information'!$C$12="Massachusetts",'Company Information'!$C$12="Vermont"),SUM($G$6:$G$10,$G$15:$G$16)&lt;&gt;0),L$16,0)</f>
        <v>2747265.7</v>
      </c>
      <c r="H26" s="443"/>
      <c r="I26" s="441"/>
      <c r="J26" s="441"/>
      <c r="K26" s="441"/>
      <c r="L26" s="401">
        <f>L$20+L$21+L$16+IF(AND(OR('Company Information'!$C$12="District of Columbia",'Company Information'!$C$12="Massachusetts",'Company Information'!$C$12="Vermont"),SUM($L$6:$L$10,$L$15:$L$16)&lt;&gt;0),G$16,0)</f>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f>(20%+2%)*(G$15-G$16+IF(AND(OR('Company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3359228.88</v>
      </c>
      <c r="H27" s="443"/>
      <c r="I27" s="441"/>
      <c r="J27" s="441"/>
      <c r="K27" s="441"/>
      <c r="L27" s="401">
        <f>(20%+2%)*(L$15-L$16+IF(AND(OR('Company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f>G$15+IF(AND(OR('Company Information'!$C$12="District of Columbia",'Company Information'!$C$12="Massachusetts",'Company Information'!$C$12="Vermont"),SUM($G$6:$G$10,$G$15:$G$16)&lt;&gt;0),L$15,0)-G$25</f>
        <v>9435911.3000000007</v>
      </c>
      <c r="H28" s="443"/>
      <c r="I28" s="441"/>
      <c r="J28" s="441"/>
      <c r="K28" s="441"/>
      <c r="L28" s="401">
        <f>L$15+IF(AND(OR('Company Information'!$C$12="District of Columbia",'Company Information'!$C$12="Massachusetts",'Company Information'!$C$12="Vermont"),SUM($L$6:$L$10,$L$15:$L$16)&lt;&gt;0),G$15,0)-L$25</f>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f>MIN(G$31,G$32)</f>
        <v>2521010.62</v>
      </c>
      <c r="H29" s="443"/>
      <c r="I29" s="441"/>
      <c r="J29" s="441"/>
      <c r="K29" s="441"/>
      <c r="L29" s="401">
        <f>MIN(L$31,L$32)</f>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f>MAX(G$22,G$24)</f>
        <v>339382.62</v>
      </c>
      <c r="H30" s="443"/>
      <c r="I30" s="441"/>
      <c r="J30" s="441"/>
      <c r="K30" s="441"/>
      <c r="L30" s="471">
        <f>MAX(L$22,L$24)</f>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f>G$20+G30+G$16+IF(AND(OR('Company Information'!$C$12="District of Columbia",'Company Information'!$C$12="Massachusetts",'Company Information'!$C$12="Vermont"),SUM($G$6:$G$10,$G$15:$G$16)&lt;&gt;0),L$16,0)</f>
        <v>2521010.62</v>
      </c>
      <c r="H31" s="443"/>
      <c r="I31" s="441"/>
      <c r="J31" s="441"/>
      <c r="K31" s="441"/>
      <c r="L31" s="401">
        <f>L$20+L30+L$16+IF(AND(OR('Company Information'!$C$12="District of Columbia",'Company Information'!$C$12="Massachusetts",'Company Information'!$C$12="Vermont"),SUM($L$6:$L$10,$L$15:$L$16)&lt;&gt;0),G$16,0)</f>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3132973.8000000003</v>
      </c>
      <c r="H32" s="443"/>
      <c r="I32" s="441"/>
      <c r="J32" s="441"/>
      <c r="K32" s="441"/>
      <c r="L32" s="401">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f>G$15+IF(AND(OR('Company Information'!$C$12="District of Columbia",'Company Information'!$C$12="Massachusetts",'Company Information'!$C$12="Vermont"),SUM($G$6:$G$10,$G$15:$G$16)&lt;&gt;0),L$15,0)-G$29</f>
        <v>9662166.379999999</v>
      </c>
      <c r="H33" s="443"/>
      <c r="I33" s="441"/>
      <c r="J33" s="441"/>
      <c r="K33" s="441"/>
      <c r="L33" s="401">
        <f>L$15+IF(AND(OR('Company Information'!$C$12="District of Columbia",'Company Information'!$C$12="Massachusetts",'Company Information'!$C$12="Vermont"),SUM($L$6:$L$10,$L$15:$L$16)&lt;&gt;0),G$15,0)-L$29</f>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f>IF(G$33=0,0,G$19/G$33)</f>
        <v>1.4924178939671706</v>
      </c>
      <c r="H34" s="462"/>
      <c r="I34" s="463"/>
      <c r="J34" s="463"/>
      <c r="K34" s="463"/>
      <c r="L34" s="469">
        <f>IF(L$33=0,0,L$19/L$33)</f>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3429434</v>
      </c>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2722008</v>
      </c>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35406</v>
      </c>
      <c r="D38" s="405">
        <v>28155.25</v>
      </c>
      <c r="E38" s="432">
        <f>('Pt 1 Summary of Data'!E$59+'Pt 1 Summary of Data'!G$59-'Pt 1 Summary of Data'!H$59)/12+IF(AND(OR('Company Information'!$C$12="District of Columbia",'Company Information'!$C$12="Massachusetts",'Company Information'!$C$12="Vermont"),SUM($C$6:$F$11,$C$15:$F$16,$C$38:$D$38)&lt;&gt;0),'Pt 1 Summary of Data'!K$59+'Pt 1 Summary of Data'!M$59-'Pt 1 Summary of Data'!N$59,0)/12</f>
        <v>7183.166666666667</v>
      </c>
      <c r="F38" s="432">
        <f>SUM(C$38:E$38)+IF(AND(OR('Company Information'!$C$12="District of Columbia",'Company Information'!$C$12="Massachusetts",'Company Information'!$C$12="Vermont"),SUM($C$6:$F$11,$C$15:$F$16,$C$38:$D$38)&lt;&gt;0,SUM(C$38:D$38)&lt;&gt;SUM(H$38:I$38)),SUM(H$38:I$38),0)</f>
        <v>70744.416666666672</v>
      </c>
      <c r="G38" s="448"/>
      <c r="H38" s="404">
        <v>61275</v>
      </c>
      <c r="I38" s="405">
        <v>49231.33</v>
      </c>
      <c r="J38" s="432">
        <f>('Pt 1 Summary of Data'!K$59+'Pt 1 Summary of Data'!M$59-'Pt 1 Summary of Data'!N$59)/12+IF(AND(OR('Company Information'!$C$12="District of Columbia",'Company Information'!$C$12="Massachusetts",'Company Information'!$C$12="Vermont"),SUM($H$6:$K$11,$H$15:$K$16,$H$38:$I$38)&lt;&gt;0),'Pt 1 Summary of Data'!E$59+'Pt 1 Summary of Data'!G$59-'Pt 1 Summary of Data'!H$59,0)/12</f>
        <v>33122.833333333336</v>
      </c>
      <c r="K38" s="432">
        <f>SUM(H$38:J$38)+IF(AND(OR('Company Information'!$C$12="District of Columbia",'Company Information'!$C$12="Massachusetts",'Company Information'!$C$12="Vermont"),SUM($H$6:$K$11,$H$15:$K$16,$H$38:$I$38)&lt;&gt;0,SUM(H$38:I$38)&lt;&gt;SUM(C$38:D$38)),SUM(C$38:D$38),0)</f>
        <v>143629.16333333333</v>
      </c>
      <c r="L38" s="448"/>
      <c r="M38" s="404">
        <v>38480</v>
      </c>
      <c r="N38" s="405">
        <v>33319.08</v>
      </c>
      <c r="O38" s="432">
        <f>('Pt 1 Summary of Data'!Q$59+'Pt 1 Summary of Data'!S$59-'Pt 1 Summary of Data'!T$59)/12</f>
        <v>26589.5</v>
      </c>
      <c r="P38" s="432">
        <f>SUM(M$38:O$38)</f>
        <v>98388.58</v>
      </c>
      <c r="Q38" s="404"/>
      <c r="R38" s="405"/>
      <c r="S38" s="432">
        <f>'Pt 1 Summary of Data'!V$59/12+IF(AND(OR('Company Information'!$C$12="District of Columbia",'Company Information'!$C$12="Massachusetts",'Company Information'!$C$12="Vermont"),SUM($Q$6:$T$7,$Q$15:$T$16,$Q$38:$R$38)&lt;&gt;0),'Pt 1 Summary of Data'!Y$59,0)/12</f>
        <v>0</v>
      </c>
      <c r="T38" s="432">
        <f>SUM(Q$38:S$38)+IF(AND(OR('Company Information'!$C$12="District of Columbia",'Company Information'!$C$12="Massachusetts",'Company Information'!$C$12="Vermont"),SUM($Q$6:$T$7,$Q$15:$T$16,$Q$38:$R$38)&lt;&gt;0,SUM(Q$38:R$38)&lt;&gt;SUM(U$38:V$38)),SUM(U$38:V$38),0)</f>
        <v>0</v>
      </c>
      <c r="U38" s="404"/>
      <c r="V38" s="405"/>
      <c r="W38" s="432">
        <f>'Pt 1 Summary of Data'!Y$59/12+IF(AND(OR('Company Information'!$C$12="District of Columbia",'Company Information'!$C$12="Massachusetts",'Company Information'!$C$12="Vermont"),SUM($U$6:$X$7,$U$15:$X$16,$U$38:$V$38)&lt;&gt;0),'Pt 1 Summary of Data'!V$59,0)/12</f>
        <v>0</v>
      </c>
      <c r="X38" s="432">
        <f>SUM(U$38:W$38)+IF(AND(OR('Company Information'!$C$12="District of Columbia",'Company Information'!$C$12="Massachusetts",'Company Information'!$C$12="Vermont"),SUM($U$6:$X$7,$U$15:$X$16,$U$38:$V$38)&lt;&gt;0,SUM(U$38:V$38)&lt;&gt;SUM(Q$38:R$38)),SUM(Q$38:R$38),0)</f>
        <v>0</v>
      </c>
      <c r="Y38" s="404"/>
      <c r="Z38" s="405"/>
      <c r="AA38" s="432">
        <f>'Pt 1 Summary of Data'!AB$59/12</f>
        <v>0</v>
      </c>
      <c r="AB38" s="432">
        <f>SUM(Y$38:AA$38)</f>
        <v>0</v>
      </c>
      <c r="AC38" s="455"/>
      <c r="AD38" s="454"/>
      <c r="AE38" s="454"/>
      <c r="AF38" s="454"/>
      <c r="AG38" s="455"/>
      <c r="AH38" s="454"/>
      <c r="AI38" s="454"/>
      <c r="AJ38" s="454"/>
      <c r="AK38" s="404"/>
      <c r="AL38" s="405"/>
      <c r="AM38" s="432"/>
      <c r="AN38" s="433"/>
    </row>
    <row r="39" spans="1:40" x14ac:dyDescent="0.2">
      <c r="B39" s="415" t="s">
        <v>320</v>
      </c>
      <c r="C39" s="459"/>
      <c r="D39" s="460"/>
      <c r="E39" s="460"/>
      <c r="F39" s="439">
        <f ca="1">IF(OR(F$38&lt;1000,F$38&gt;=75000,AND(C$38&gt;=1000,D$38&gt;=1000,E$38&gt;=1000,C$45&lt;C$50,D$45&lt;D$50,E$45&lt;E$50)),0,VLOOKUP(F$38,'Reference Tables'!$A$4:$B$11,2)+((F$38-VLOOKUP(F$38,'Reference Tables'!$A$4:$B$11,1))*(OFFSET(INDEX('Reference Tables'!$A$4:$A$11,MATCH(F$38,'Reference Tables'!$A$4:$A$11)),1,1)-VLOOKUP(F$38,'Reference Tables'!$A$4:$B$11,2))/(OFFSET(INDEX('Reference Tables'!$A$4:$A$11,MATCH(F$38,'Reference Tables'!$A$4:$A$11)),1,0)-VLOOKUP(F$38,'Reference Tables'!$A$4:$B$11,1))))</f>
        <v>2.0426799999999981E-3</v>
      </c>
      <c r="G39" s="461"/>
      <c r="H39" s="459"/>
      <c r="I39" s="460"/>
      <c r="J39" s="460"/>
      <c r="K39" s="439">
        <f ca="1">IF(OR(K$38&lt;1000,K$38&gt;=75000,AND(H$38&gt;=1000,I$38&gt;=1000,J$38&gt;=1000,H$45&lt;H$50,I$45&lt;I$50,J$45&lt;J$50)),0,VLOOKUP(K$38,'Reference Tables'!$A$4:$B$11,2)+((K$38-VLOOKUP(K$38,'Reference Tables'!$A$4:$B$11,1))*(OFFSET(INDEX('Reference Tables'!$A$4:$A$11,MATCH(K$38,'Reference Tables'!$A$4:$A$11)),1,1)-VLOOKUP(K$38,'Reference Tables'!$A$4:$B$11,2))/(OFFSET(INDEX('Reference Tables'!$A$4:$A$11,MATCH(K$38,'Reference Tables'!$A$4:$A$11)),1,0)-VLOOKUP(K$38,'Reference Tables'!$A$4:$B$11,1))))</f>
        <v>0</v>
      </c>
      <c r="L39" s="461"/>
      <c r="M39" s="459"/>
      <c r="N39" s="460"/>
      <c r="O39" s="460"/>
      <c r="P39" s="439">
        <f ca="1">IF(OR(P$38&lt;1000,P$38&gt;=75000,AND(M$38&gt;=1000,N$38&gt;=1000,O$38&gt;=1000,M$45&lt;M$50,N$45&lt;N$50,O$45&lt;O$50)),0,VLOOKUP(P$38,'Reference Tables'!$A$4:$B$11,2)+((P$38-VLOOKUP(P$38,'Reference Tables'!$A$4:$B$11,1))*(OFFSET(INDEX('Reference Tables'!$A$4:$A$11,MATCH(P$38,'Reference Tables'!$A$4:$A$11)),1,1)-VLOOKUP(P$38,'Reference Tables'!$A$4:$B$11,2))/(OFFSET(INDEX('Reference Tables'!$A$4:$A$11,MATCH(P$38,'Reference Tables'!$A$4:$A$11)),1,0)-VLOOKUP(P$38,'Reference Tables'!$A$4:$B$11,1))))</f>
        <v>0</v>
      </c>
      <c r="Q39" s="459"/>
      <c r="R39" s="460"/>
      <c r="S39" s="460"/>
      <c r="T39" s="439">
        <f ca="1">IF(OR(T$38&lt;1000,T$38&gt;=75000,AND(Q$38&gt;=1000,R$38&gt;=1000,S$38&gt;=1000,Q$46&lt;Q$50,R$46&lt;R$50,S$46&lt;S$50)),0,VLOOKUP(T$38,'Reference Tables'!$A$4:$B$11,2)+((T$38-VLOOKUP(T$38,'Reference Tables'!$A$4:$B$11,1))*(OFFSET(INDEX('Reference Tables'!$A$4:$A$11,MATCH(T$38,'Reference Tables'!$A$4:$A$11)),1,1)-VLOOKUP(T$38,'Reference Tables'!$A$4:$B$11,2))/(OFFSET(INDEX('Reference Tables'!$A$4:$A$11,MATCH(T$38,'Reference Tables'!$A$4:$A$11)),1,0)-VLOOKUP(T$38,'Reference Tables'!$A$4:$B$11,1))))</f>
        <v>0</v>
      </c>
      <c r="U39" s="459"/>
      <c r="V39" s="460"/>
      <c r="W39" s="460"/>
      <c r="X39" s="439">
        <f ca="1">IF(OR(X$38&lt;1000,X$38&gt;=75000,AND(U$38&gt;=1000,V$38&gt;=1000,W$38&gt;=1000,U$46&lt;U$50,V$46&lt;V$50,W$46&lt;W$50)),0,VLOOKUP(X$38,'Reference Tables'!$A$4:$B$11,2)+((X$38-VLOOKUP(X$38,'Reference Tables'!$A$4:$B$11,1))*(OFFSET(INDEX('Reference Tables'!$A$4:$A$11,MATCH(X$38,'Reference Tables'!$A$4:$A$11)),1,1)-VLOOKUP(X$38,'Reference Tables'!$A$4:$B$11,2))/(OFFSET(INDEX('Reference Tables'!$A$4:$A$11,MATCH(X$38,'Reference Tables'!$A$4:$A$11)),1,0)-VLOOKUP(X$38,'Reference Tables'!$A$4:$B$11,1))))</f>
        <v>0</v>
      </c>
      <c r="Y39" s="459"/>
      <c r="Z39" s="460"/>
      <c r="AA39" s="460"/>
      <c r="AB39" s="439">
        <f ca="1">IF(OR(AB$38&lt;1000,AB$38&gt;=75000,AND(Y$38&gt;=1000,Z$38&gt;=1000,AA$38&gt;=1000,Y$46&lt;Y$50,Z$46&lt;Z$50,AA$46&lt;AA$50)),0,VLOOKUP(AB$38,'Reference Tables'!$A$4:$B$11,2)+((AB$38-VLOOKUP(AB$38,'Reference Tables'!$A$4:$B$11,1))*(OFFSET(INDEX('Reference Tables'!$A$4:$A$11,MATCH(AB$38,'Reference Tables'!$A$4:$A$11)),1,1)-VLOOKUP(AB$38,'Reference Tables'!$A$4:$B$11,2))/(OFFSET(INDEX('Reference Tables'!$A$4:$A$11,MATCH(AB$38,'Reference Tables'!$A$4:$A$11)),1,0)-VLOOKUP(AB$38,'Reference Tables'!$A$4:$B$11,1))))</f>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8058</v>
      </c>
      <c r="G40" s="447"/>
      <c r="H40" s="443"/>
      <c r="I40" s="441"/>
      <c r="J40" s="441"/>
      <c r="K40" s="398">
        <v>2515</v>
      </c>
      <c r="L40" s="447"/>
      <c r="M40" s="443"/>
      <c r="N40" s="441"/>
      <c r="O40" s="441"/>
      <c r="P40" s="398">
        <v>2269</v>
      </c>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f ca="1">IF(F$40&lt;2500,1,(MIN(VLOOKUP(F$40,'Reference Tables'!$A$17:$B$20,2)+((F$40-VLOOKUP(F$40,'Reference Tables'!$A$17:$B$20,1))*(OFFSET(INDEX('Reference Tables'!$A$17:$A$20,MATCH(F$40,'Reference Tables'!$A$17:$A$20)),1,1)-VLOOKUP(F$40,'Reference Tables'!$A$17:$B$20,2))/(OFFSET(INDEX('Reference Tables'!$A$17:$A$20,MATCH(F$40,'Reference Tables'!$A$17:$A$20)),1,0)-VLOOKUP(F$40,'Reference Tables'!$A$17:$B$20,1))),1.736)))</f>
        <v>1.6062744</v>
      </c>
      <c r="G41" s="447"/>
      <c r="H41" s="443"/>
      <c r="I41" s="441"/>
      <c r="J41" s="441"/>
      <c r="K41" s="434">
        <f ca="1">IF(K$40&lt;2500,1,(MIN(VLOOKUP(K$40,'Reference Tables'!$A$17:$B$20,2)+((K$40-VLOOKUP(K$40,'Reference Tables'!$A$17:$B$20,1))*(OFFSET(INDEX('Reference Tables'!$A$17:$A$20,MATCH(K$40,'Reference Tables'!$A$17:$A$20)),1,1)-VLOOKUP(K$40,'Reference Tables'!$A$17:$B$20,2))/(OFFSET(INDEX('Reference Tables'!$A$17:$A$20,MATCH(K$40,'Reference Tables'!$A$17:$A$20)),1,0)-VLOOKUP(K$40,'Reference Tables'!$A$17:$B$20,1))),1.736)))</f>
        <v>1.1654279999999999</v>
      </c>
      <c r="L41" s="447"/>
      <c r="M41" s="443"/>
      <c r="N41" s="441"/>
      <c r="O41" s="441"/>
      <c r="P41" s="434">
        <f ca="1">IF(P$40&lt;2500,1,(MIN(VLOOKUP(P$40,'Reference Tables'!$A$17:$B$20,2)+((P$40-VLOOKUP(P$40,'Reference Tables'!$A$17:$B$20,1))*(OFFSET(INDEX('Reference Tables'!$A$17:$A$20,MATCH(P$40,'Reference Tables'!$A$17:$A$20)),1,1)-VLOOKUP(P$40,'Reference Tables'!$A$17:$B$20,2))/(OFFSET(INDEX('Reference Tables'!$A$17:$A$20,MATCH(P$40,'Reference Tables'!$A$17:$A$20)),1,0)-VLOOKUP(P$40,'Reference Tables'!$A$17:$B$20,1))),1.736)))</f>
        <v>1</v>
      </c>
      <c r="Q41" s="443"/>
      <c r="R41" s="441"/>
      <c r="S41" s="441"/>
      <c r="T41" s="434">
        <f ca="1">IF(T$40&lt;2500,1,(MIN(VLOOKUP(T$40,'Reference Tables'!$A$17:$B$20,2)+((T$40-VLOOKUP(T$40,'Reference Tables'!$A$17:$B$20,1))*(OFFSET(INDEX('Reference Tables'!$A$17:$A$20,MATCH(T$40,'Reference Tables'!$A$17:$A$20)),1,1)-VLOOKUP(T$40,'Reference Tables'!$A$17:$B$20,2))/(OFFSET(INDEX('Reference Tables'!$A$17:$A$20,MATCH(T$40,'Reference Tables'!$A$17:$A$20)),1,0)-VLOOKUP(T$40,'Reference Tables'!$A$17:$B$20,1))),1.736)))</f>
        <v>1</v>
      </c>
      <c r="U41" s="443"/>
      <c r="V41" s="441"/>
      <c r="W41" s="441"/>
      <c r="X41" s="434">
        <f ca="1">IF(X$40&lt;2500,1,(MIN(VLOOKUP(X$40,'Reference Tables'!$A$17:$B$20,2)+((X$40-VLOOKUP(X$40,'Reference Tables'!$A$17:$B$20,1))*(OFFSET(INDEX('Reference Tables'!$A$17:$A$20,MATCH(X$40,'Reference Tables'!$A$17:$A$20)),1,1)-VLOOKUP(X$40,'Reference Tables'!$A$17:$B$20,2))/(OFFSET(INDEX('Reference Tables'!$A$17:$A$20,MATCH(X$40,'Reference Tables'!$A$17:$A$20)),1,0)-VLOOKUP(X$40,'Reference Tables'!$A$17:$B$20,1))),1.736)))</f>
        <v>1</v>
      </c>
      <c r="Y41" s="443"/>
      <c r="Z41" s="441"/>
      <c r="AA41" s="441"/>
      <c r="AB41" s="434">
        <f ca="1">IF(AB$40&lt;2500,1,(MIN(VLOOKUP(AB$40,'Reference Tables'!$A$17:$B$20,2)+((AB$40-VLOOKUP(AB$40,'Reference Tables'!$A$17:$B$20,1))*(OFFSET(INDEX('Reference Tables'!$A$17:$A$20,MATCH(AB$40,'Reference Tables'!$A$17:$A$20)),1,1)-VLOOKUP(AB$40,'Reference Tables'!$A$17:$B$20,2))/(OFFSET(INDEX('Reference Tables'!$A$17:$A$20,MATCH(AB$40,'Reference Tables'!$A$17:$A$20)),1,0)-VLOOKUP(AB$40,'Reference Tables'!$A$17:$B$20,1))),1.736)))</f>
        <v>1</v>
      </c>
      <c r="AC41" s="443"/>
      <c r="AD41" s="441"/>
      <c r="AE41" s="441"/>
      <c r="AF41" s="441"/>
      <c r="AG41" s="443"/>
      <c r="AH41" s="441"/>
      <c r="AI41" s="441"/>
      <c r="AJ41" s="441"/>
      <c r="AK41" s="443"/>
      <c r="AL41" s="441"/>
      <c r="AM41" s="441"/>
      <c r="AN41" s="435"/>
    </row>
    <row r="42" spans="1:40" x14ac:dyDescent="0.2">
      <c r="B42" s="415" t="s">
        <v>323</v>
      </c>
      <c r="C42" s="443"/>
      <c r="D42" s="441"/>
      <c r="E42" s="441"/>
      <c r="F42" s="436">
        <f ca="1">IF(OR(F$38&lt;1000,F$38&gt;=75000),0,F$39*F$41)</f>
        <v>3.281104591391997E-3</v>
      </c>
      <c r="G42" s="447"/>
      <c r="H42" s="443"/>
      <c r="I42" s="441"/>
      <c r="J42" s="441"/>
      <c r="K42" s="436">
        <f>IF(OR(K$38&lt;1000,K$38&gt;=75000),0,K$39*K$41)</f>
        <v>0</v>
      </c>
      <c r="L42" s="447"/>
      <c r="M42" s="443"/>
      <c r="N42" s="441"/>
      <c r="O42" s="441"/>
      <c r="P42" s="436">
        <f>IF(OR(P$38&lt;1000,P$38&gt;=75000),0,P$39*P$41)</f>
        <v>0</v>
      </c>
      <c r="Q42" s="443"/>
      <c r="R42" s="441"/>
      <c r="S42" s="441"/>
      <c r="T42" s="436">
        <f>IF(OR(T$38&lt;1000,T$38&gt;=75000),0,T$39*T$41)</f>
        <v>0</v>
      </c>
      <c r="U42" s="443"/>
      <c r="V42" s="441"/>
      <c r="W42" s="441"/>
      <c r="X42" s="436">
        <f>IF(OR(X$38&lt;1000,X$38&gt;=75000),0,X$39*X$41)</f>
        <v>0</v>
      </c>
      <c r="Y42" s="443"/>
      <c r="Z42" s="441"/>
      <c r="AA42" s="441"/>
      <c r="AB42" s="436">
        <f>IF(OR(AB$38&lt;1000,AB$38&gt;=75000),0,AB$39*AB$41)</f>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f>IF(OR(C$38&lt;1000,C$17&lt;=0),"",C$12/C$17)</f>
        <v>0.82738580838270603</v>
      </c>
      <c r="D45" s="436">
        <f>IF(OR(D$38&lt;1000,D$17&lt;=0),"",D$12/D$17)</f>
        <v>0.8469007765318598</v>
      </c>
      <c r="E45" s="436">
        <f>IF(OR(E$38&lt;1000,E$17&lt;=0),"",E$12/E$17)</f>
        <v>0.63329179465264318</v>
      </c>
      <c r="F45" s="436">
        <f>IF(OR(F$38&lt;1000,F$17&lt;=0),"",F$12/F$17)</f>
        <v>0.80647221853222961</v>
      </c>
      <c r="G45" s="447"/>
      <c r="H45" s="438">
        <f>IF(OR(H$38&lt;1000,H$17&lt;=0),"",H$12/H$17)</f>
        <v>0.84214202914993985</v>
      </c>
      <c r="I45" s="436">
        <f>IF(OR(I$38&lt;1000,I$17&lt;=0),"",I$12/I$17)</f>
        <v>0.83740060080286827</v>
      </c>
      <c r="J45" s="436">
        <f>IF(OR(J$38&lt;1000,J$17&lt;=0),"",J$12/J$17)</f>
        <v>0.83719254547899991</v>
      </c>
      <c r="K45" s="436">
        <f>IF(OR(K$38&lt;1000,K$17&lt;=0),"",K$12/K$17)</f>
        <v>0.83931993169590013</v>
      </c>
      <c r="L45" s="447"/>
      <c r="M45" s="438">
        <f>IF(OR(M$38&lt;1000,M$17&lt;=0),"",M$12/M$17)</f>
        <v>0.91492086864824063</v>
      </c>
      <c r="N45" s="436">
        <f>IF(OR(N$38&lt;1000,N$17&lt;=0),"",N$12/N$17)</f>
        <v>0.91336358340841528</v>
      </c>
      <c r="O45" s="436">
        <f>IF(OR(O$38&lt;1000,O$17&lt;=0),"",O$12/O$17)</f>
        <v>0.9112540659697772</v>
      </c>
      <c r="P45" s="436">
        <f>IF(OR(P$38&lt;1000,P$17&lt;=0),"",P$12/P$17)</f>
        <v>0.91334953592574475</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tr">
        <f t="shared" ref="Q46:AB46" si="1">IF(OR(Q$38&lt;1000,Q$17&lt;=0),"",Q$13/Q$17)</f>
        <v/>
      </c>
      <c r="R46" s="436" t="str">
        <f t="shared" si="1"/>
        <v/>
      </c>
      <c r="S46" s="436" t="str">
        <f t="shared" si="1"/>
        <v/>
      </c>
      <c r="T46" s="436" t="str">
        <f t="shared" si="1"/>
        <v/>
      </c>
      <c r="U46" s="438" t="str">
        <f t="shared" si="1"/>
        <v/>
      </c>
      <c r="V46" s="436" t="str">
        <f t="shared" si="1"/>
        <v/>
      </c>
      <c r="W46" s="436" t="str">
        <f t="shared" si="1"/>
        <v/>
      </c>
      <c r="X46" s="436" t="str">
        <f t="shared" si="1"/>
        <v/>
      </c>
      <c r="Y46" s="438" t="str">
        <f t="shared" si="1"/>
        <v/>
      </c>
      <c r="Z46" s="436" t="str">
        <f t="shared" si="1"/>
        <v/>
      </c>
      <c r="AA46" s="436" t="str">
        <f t="shared" si="1"/>
        <v/>
      </c>
      <c r="AB46" s="436" t="str">
        <f t="shared" si="1"/>
        <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f ca="1">IF(F$45="","",F$42)</f>
        <v>3.281104591391997E-3</v>
      </c>
      <c r="G47" s="447"/>
      <c r="H47" s="443"/>
      <c r="I47" s="441"/>
      <c r="J47" s="441"/>
      <c r="K47" s="436">
        <f>IF(K$45="","",K$42)</f>
        <v>0</v>
      </c>
      <c r="L47" s="447"/>
      <c r="M47" s="443"/>
      <c r="N47" s="441"/>
      <c r="O47" s="441"/>
      <c r="P47" s="436">
        <f>IF(P$45="","",P$42)</f>
        <v>0</v>
      </c>
      <c r="Q47" s="444"/>
      <c r="R47" s="442"/>
      <c r="S47" s="442"/>
      <c r="T47" s="436" t="str">
        <f>IF(T$46="","",T$42)</f>
        <v/>
      </c>
      <c r="U47" s="444"/>
      <c r="V47" s="442"/>
      <c r="W47" s="442"/>
      <c r="X47" s="436" t="str">
        <f>IF(X$46="","",X$42)</f>
        <v/>
      </c>
      <c r="Y47" s="444"/>
      <c r="Z47" s="442"/>
      <c r="AA47" s="442"/>
      <c r="AB47" s="436" t="str">
        <f>IF(AB$46="","",AB$42)</f>
        <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f ca="1">IF(F$45="","",ROUND(F$45+MAX(0,F$47),3))</f>
        <v>0.81</v>
      </c>
      <c r="G48" s="447"/>
      <c r="H48" s="443"/>
      <c r="I48" s="441"/>
      <c r="J48" s="441"/>
      <c r="K48" s="436">
        <f>IF(K$45="","",ROUND(K$45+MAX(0,K$47),3))</f>
        <v>0.83899999999999997</v>
      </c>
      <c r="L48" s="447"/>
      <c r="M48" s="443"/>
      <c r="N48" s="441"/>
      <c r="O48" s="441"/>
      <c r="P48" s="436">
        <f>IF(P$45="","",ROUND(P$45+MAX(0,P$47),3))</f>
        <v>0.91300000000000003</v>
      </c>
      <c r="Q48" s="443"/>
      <c r="R48" s="441"/>
      <c r="S48" s="441"/>
      <c r="T48" s="436" t="str">
        <f>IF(T$46="","",ROUND(T$46+MAX(0,T$47),3))</f>
        <v/>
      </c>
      <c r="U48" s="443"/>
      <c r="V48" s="441"/>
      <c r="W48" s="441"/>
      <c r="X48" s="436" t="str">
        <f>IF(X$46="","",ROUND(X$46+MAX(0,X$47),3))</f>
        <v/>
      </c>
      <c r="Y48" s="443"/>
      <c r="Z48" s="441"/>
      <c r="AA48" s="441"/>
      <c r="AB48" s="436" t="str">
        <f>IF(AB$46="","",ROUND(AB$46+MAX(0,AB$47),3))</f>
        <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f ca="1">F$48</f>
        <v>0.81</v>
      </c>
      <c r="G51" s="447"/>
      <c r="H51" s="444"/>
      <c r="I51" s="442"/>
      <c r="J51" s="442"/>
      <c r="K51" s="436">
        <f>K$48</f>
        <v>0.83899999999999997</v>
      </c>
      <c r="L51" s="447"/>
      <c r="M51" s="444"/>
      <c r="N51" s="442"/>
      <c r="O51" s="442"/>
      <c r="P51" s="436">
        <f>P$48</f>
        <v>0.91300000000000003</v>
      </c>
      <c r="Q51" s="444"/>
      <c r="R51" s="442"/>
      <c r="S51" s="442"/>
      <c r="T51" s="436" t="str">
        <f>T$48</f>
        <v/>
      </c>
      <c r="U51" s="444"/>
      <c r="V51" s="442"/>
      <c r="W51" s="442"/>
      <c r="X51" s="436" t="str">
        <f>X$48</f>
        <v/>
      </c>
      <c r="Y51" s="444"/>
      <c r="Z51" s="442"/>
      <c r="AA51" s="442"/>
      <c r="AB51" s="436" t="str">
        <f>AB$48</f>
        <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f>IF(F$38&lt;1000,"",MAX(0,E$15-E$16))</f>
        <v>28686313.140950114</v>
      </c>
      <c r="G52" s="447"/>
      <c r="H52" s="443"/>
      <c r="I52" s="441"/>
      <c r="J52" s="441"/>
      <c r="K52" s="400">
        <f>IF(K$38&lt;1000,"",MAX(0,J$15-J$16))</f>
        <v>157950366.31336039</v>
      </c>
      <c r="L52" s="447"/>
      <c r="M52" s="443"/>
      <c r="N52" s="441"/>
      <c r="O52" s="441"/>
      <c r="P52" s="400">
        <f>IF(P$38&lt;1000,"",MAX(0,O$15-O$16))</f>
        <v>131271720.12256069</v>
      </c>
      <c r="Q52" s="443"/>
      <c r="R52" s="441"/>
      <c r="S52" s="441"/>
      <c r="T52" s="400" t="str">
        <f>IF(T$38&lt;1000,"",MAX(0,S$15-S$16))</f>
        <v/>
      </c>
      <c r="U52" s="443"/>
      <c r="V52" s="441"/>
      <c r="W52" s="441"/>
      <c r="X52" s="400" t="str">
        <f>IF(X$38&lt;1000,"",MAX(0,W$15-W$16))</f>
        <v/>
      </c>
      <c r="Y52" s="443"/>
      <c r="Z52" s="441"/>
      <c r="AA52" s="441"/>
      <c r="AB52" s="400" t="str">
        <f>IF(AB$38&lt;1000,"",MAX(0,AA$15-AA$16))</f>
        <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f ca="1">IF(OR(F$38&lt;1000,F$17&lt;=0),0,MAX(0,F$50-F$51)*F$52)</f>
        <v>0</v>
      </c>
      <c r="G53" s="447"/>
      <c r="H53" s="443"/>
      <c r="I53" s="441"/>
      <c r="J53" s="441"/>
      <c r="K53" s="400">
        <f>IF(OR(K$38&lt;1000,K$17&lt;=0),0,MAX(0,K$50-K$51)*K$52)</f>
        <v>0</v>
      </c>
      <c r="L53" s="447"/>
      <c r="M53" s="443"/>
      <c r="N53" s="441"/>
      <c r="O53" s="441"/>
      <c r="P53" s="400">
        <f>IF(OR(P$38&lt;1000,P$17&lt;=0),0,MAX(0,P$50-P$51)*P$52)</f>
        <v>0</v>
      </c>
      <c r="Q53" s="443"/>
      <c r="R53" s="441"/>
      <c r="S53" s="441"/>
      <c r="T53" s="400">
        <f>IF(OR(T$38&lt;1000,T$17&lt;=0),0,MAX(0,T$50-T$51)*T$52)</f>
        <v>0</v>
      </c>
      <c r="U53" s="443"/>
      <c r="V53" s="441"/>
      <c r="W53" s="441"/>
      <c r="X53" s="400">
        <f>IF(OR(X$38&lt;1000,X$17&lt;=0),0,MAX(0,X$50-X$51)*X$52)</f>
        <v>0</v>
      </c>
      <c r="Y53" s="443"/>
      <c r="Z53" s="441"/>
      <c r="AA53" s="441"/>
      <c r="AB53" s="400">
        <f>IF(OR(AB$38&lt;1000,AB$17&lt;=0),0,MAX(0,AB$50-AB$51)*AB$52)</f>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v>465761.00309999997</v>
      </c>
      <c r="D56" s="441"/>
      <c r="E56" s="441"/>
      <c r="F56" s="441"/>
      <c r="G56" s="447"/>
      <c r="H56" s="397">
        <v>1093375.885094</v>
      </c>
      <c r="I56" s="441"/>
      <c r="J56" s="441"/>
      <c r="K56" s="441"/>
      <c r="L56" s="447"/>
      <c r="M56" s="397">
        <v>738573.47880000004</v>
      </c>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v>7451.9562669999996</v>
      </c>
      <c r="D57" s="441"/>
      <c r="E57" s="441"/>
      <c r="F57" s="441"/>
      <c r="G57" s="447"/>
      <c r="H57" s="397">
        <v>20364.857899999999</v>
      </c>
      <c r="I57" s="441"/>
      <c r="J57" s="441"/>
      <c r="K57" s="441"/>
      <c r="L57" s="447"/>
      <c r="M57" s="397">
        <v>-19141.773300000001</v>
      </c>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f>G60-G59</f>
        <v>-897937</v>
      </c>
      <c r="H58" s="452"/>
      <c r="I58" s="453"/>
      <c r="J58" s="453"/>
      <c r="K58" s="453"/>
      <c r="L58" s="400">
        <f>L60-L59</f>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v>34560230</v>
      </c>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v>33662293</v>
      </c>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f>'Pt 1 Summary of Data'!$E$56+'Pt 1 Summary of Data'!$G$56-'Pt 1 Summary of Data'!$H$56</f>
        <v>3883</v>
      </c>
      <c r="D4" s="104">
        <f>'Pt 1 Summary of Data'!$K$56+'Pt 1 Summary of Data'!$M$56-'Pt 1 Summary of Data'!$N$56</f>
        <v>16781</v>
      </c>
      <c r="E4" s="104">
        <f>'Pt 1 Summary of Data'!$Q$56+'Pt 1 Summary of Data'!$S$56-'Pt 1 Summary of Data'!$T$56</f>
        <v>14222</v>
      </c>
      <c r="F4" s="104">
        <f>'Pt 1 Summary of Data'!$V$56</f>
        <v>0</v>
      </c>
      <c r="G4" s="104">
        <f>'Pt 1 Summary of Data'!$Y$56</f>
        <v>0</v>
      </c>
      <c r="H4" s="104">
        <f>'Pt 1 Summary of Data'!$AB$56</f>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f ca="1">'Pt 3 MLR and Rebate Calculation'!$F$53</f>
        <v>0</v>
      </c>
      <c r="D11" s="97">
        <f>'Pt 3 MLR and Rebate Calculation'!$K$53</f>
        <v>0</v>
      </c>
      <c r="E11" s="97">
        <f>'Pt 3 MLR and Rebate Calculation'!$P$53</f>
        <v>0</v>
      </c>
      <c r="F11" s="97">
        <f>'Pt 3 MLR and Rebate Calculation'!$T$53</f>
        <v>0</v>
      </c>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v>0</v>
      </c>
      <c r="D14" s="95">
        <v>0</v>
      </c>
      <c r="E14" s="95">
        <v>0</v>
      </c>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t="s">
        <v>507</v>
      </c>
      <c r="C8" s="28"/>
      <c r="D8" s="29"/>
      <c r="E8" s="29"/>
      <c r="F8" s="29"/>
      <c r="G8" s="29"/>
      <c r="H8" s="29"/>
      <c r="I8" s="27"/>
      <c r="J8" s="27"/>
      <c r="K8" s="2"/>
    </row>
    <row r="9" spans="1:12" s="5" customFormat="1" ht="18" customHeight="1" x14ac:dyDescent="0.2">
      <c r="B9" s="61" t="s">
        <v>508</v>
      </c>
      <c r="C9" s="28"/>
      <c r="D9" s="29"/>
      <c r="E9" s="29"/>
      <c r="F9" s="29"/>
      <c r="G9" s="29"/>
      <c r="H9" s="29"/>
      <c r="I9" s="27"/>
      <c r="J9" s="27"/>
      <c r="K9" s="2"/>
    </row>
    <row r="10" spans="1:12" s="5" customFormat="1" ht="18" customHeight="1" x14ac:dyDescent="0.2">
      <c r="B10" s="61" t="s">
        <v>509</v>
      </c>
      <c r="C10" s="28"/>
      <c r="D10" s="29"/>
      <c r="E10" s="29"/>
      <c r="F10" s="29"/>
      <c r="G10" s="29"/>
      <c r="H10" s="29"/>
      <c r="I10" s="27"/>
      <c r="J10" s="27"/>
      <c r="K10" s="2"/>
    </row>
    <row r="11" spans="1:12" s="5" customFormat="1" ht="18" customHeight="1" x14ac:dyDescent="0.2">
      <c r="B11" s="61" t="s">
        <v>510</v>
      </c>
      <c r="C11" s="28"/>
      <c r="D11" s="29"/>
      <c r="E11" s="29"/>
      <c r="F11" s="29"/>
      <c r="G11" s="29"/>
      <c r="H11" s="29"/>
      <c r="I11" s="27"/>
      <c r="J11" s="27"/>
      <c r="K11" s="2"/>
    </row>
    <row r="12" spans="1:12" s="5" customFormat="1" ht="18" customHeight="1" x14ac:dyDescent="0.2">
      <c r="B12" s="61" t="s">
        <v>511</v>
      </c>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Justin Moore</cp:lastModifiedBy>
  <cp:lastPrinted>2014-12-18T11:24:00Z</cp:lastPrinted>
  <dcterms:created xsi:type="dcterms:W3CDTF">2012-03-15T16:14:51Z</dcterms:created>
  <dcterms:modified xsi:type="dcterms:W3CDTF">2016-07-28T17:05:55Z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