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P45" i="10" s="1"/>
  <c r="AB16" i="10"/>
  <c r="AA16" i="10"/>
  <c r="X16" i="10"/>
  <c r="W16" i="10"/>
  <c r="T16" i="10"/>
  <c r="S16" i="10"/>
  <c r="P16" i="10"/>
  <c r="O16" i="10"/>
  <c r="L16" i="10"/>
  <c r="K16" i="10"/>
  <c r="J16" i="10"/>
  <c r="G16" i="10"/>
  <c r="F16" i="10"/>
  <c r="E16" i="10"/>
  <c r="AB15" i="10"/>
  <c r="AA15" i="10"/>
  <c r="X15" i="10"/>
  <c r="W15" i="10"/>
  <c r="T15" i="10"/>
  <c r="Q13" i="10" s="1"/>
  <c r="S15" i="10"/>
  <c r="P15" i="10"/>
  <c r="O15" i="10"/>
  <c r="L15" i="10"/>
  <c r="AB13" i="10"/>
  <c r="AA13" i="10"/>
  <c r="Z13" i="10"/>
  <c r="Y13" i="10"/>
  <c r="W13" i="10"/>
  <c r="S13" i="10"/>
  <c r="R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L22" i="4" s="1"/>
  <c r="K55" i="18"/>
  <c r="K22" i="4" s="1"/>
  <c r="J55" i="18"/>
  <c r="I55" i="18"/>
  <c r="H55" i="18"/>
  <c r="G55" i="18"/>
  <c r="F55" i="18"/>
  <c r="F22" i="4" s="1"/>
  <c r="E55" i="18"/>
  <c r="E22" i="4" s="1"/>
  <c r="D55" i="18"/>
  <c r="AU54" i="18"/>
  <c r="AU12" i="4" s="1"/>
  <c r="AT54" i="18"/>
  <c r="AS54" i="18"/>
  <c r="AS12" i="4" s="1"/>
  <c r="AC54" i="18"/>
  <c r="AC12" i="4" s="1"/>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N54" i="18"/>
  <c r="M54" i="18"/>
  <c r="M12" i="4" s="1"/>
  <c r="L54" i="18"/>
  <c r="L12" i="4" s="1"/>
  <c r="K54" i="18"/>
  <c r="K12" i="4" s="1"/>
  <c r="J54" i="18"/>
  <c r="J12" i="4" s="1"/>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J22" i="4"/>
  <c r="I22" i="4"/>
  <c r="H22" i="4"/>
  <c r="G22" i="4"/>
  <c r="D22" i="4"/>
  <c r="AT12" i="4"/>
  <c r="X12" i="4"/>
  <c r="S12" i="4"/>
  <c r="O12" i="4"/>
  <c r="N12" i="4"/>
  <c r="I12" i="4"/>
  <c r="G12" i="4"/>
  <c r="F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15" i="10" l="1"/>
  <c r="F15" i="10" s="1"/>
  <c r="G7" i="10"/>
  <c r="G20" i="10" s="1"/>
  <c r="K15" i="10"/>
  <c r="E7" i="10"/>
  <c r="J7" i="10"/>
  <c r="P47" i="10"/>
  <c r="P48" i="10" s="1"/>
  <c r="P51" i="10" s="1"/>
  <c r="P53" i="10" s="1"/>
  <c r="E11" i="16" s="1"/>
  <c r="G23" i="10"/>
  <c r="L21" i="10"/>
  <c r="L26" i="10" s="1"/>
  <c r="L25" i="10" s="1"/>
  <c r="L28" i="10" s="1"/>
  <c r="L30" i="10"/>
  <c r="L31" i="10" s="1"/>
  <c r="L29" i="10" s="1"/>
  <c r="L33" i="10" s="1"/>
  <c r="L34" i="10" s="1"/>
  <c r="X13" i="10"/>
  <c r="T13" i="10"/>
  <c r="V13" i="10"/>
  <c r="U13" i="10"/>
  <c r="G27" i="10" l="1"/>
  <c r="G32" i="10"/>
  <c r="G19" i="10"/>
  <c r="G22" i="10" s="1"/>
  <c r="G24" i="10"/>
  <c r="F7" i="10"/>
  <c r="C12" i="10" s="1"/>
  <c r="K7" i="10"/>
  <c r="H17" i="10" s="1"/>
  <c r="I17" i="10"/>
  <c r="K17" i="10"/>
  <c r="J38" i="10" l="1"/>
  <c r="E12" i="10"/>
  <c r="E17" i="10"/>
  <c r="D17" i="10"/>
  <c r="D12" i="10"/>
  <c r="F17" i="10"/>
  <c r="C17" i="10"/>
  <c r="C45" i="10" s="1"/>
  <c r="E38" i="10"/>
  <c r="F38" i="10" s="1"/>
  <c r="G30" i="10"/>
  <c r="G31" i="10" s="1"/>
  <c r="G29" i="10" s="1"/>
  <c r="G33" i="10" s="1"/>
  <c r="G34" i="10" s="1"/>
  <c r="G21" i="10"/>
  <c r="G26" i="10" s="1"/>
  <c r="G25" i="10" s="1"/>
  <c r="G28" i="10" s="1"/>
  <c r="K38" i="10"/>
  <c r="I12" i="10"/>
  <c r="I45" i="10" s="1"/>
  <c r="J12" i="10"/>
  <c r="H12" i="10"/>
  <c r="H45" i="10" s="1"/>
  <c r="J17" i="10"/>
  <c r="E45" i="10" l="1"/>
  <c r="J45" i="10"/>
  <c r="D45" i="10"/>
  <c r="F12" i="10"/>
  <c r="F45" i="10" s="1"/>
  <c r="K52" i="10"/>
  <c r="K42" i="10"/>
  <c r="K39" i="10"/>
  <c r="F39" i="10"/>
  <c r="F42" i="10" s="1"/>
  <c r="F52" i="10"/>
  <c r="K12" i="10"/>
  <c r="K45" i="10" s="1"/>
  <c r="K47" i="10" s="1"/>
  <c r="K48" i="10" s="1"/>
  <c r="K51" i="10" s="1"/>
  <c r="F47" i="10" l="1"/>
  <c r="F48" i="10" s="1"/>
  <c r="F51" i="10" s="1"/>
  <c r="F53" i="10" s="1"/>
  <c r="C11" i="16" s="1"/>
  <c r="K53" i="10"/>
  <c r="D11" i="16" s="1"/>
</calcChain>
</file>

<file path=xl/sharedStrings.xml><?xml version="1.0" encoding="utf-8"?>
<sst xmlns="http://schemas.openxmlformats.org/spreadsheetml/2006/main" count="573" uniqueCount="512">
  <si>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</si>
  <si>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</si>
  <si>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</si>
  <si>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</si>
  <si>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</si>
  <si>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</si>
  <si>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</si>
  <si>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</si>
  <si>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</si>
  <si>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</si>
  <si>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</si>
  <si>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</si>
  <si>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</si>
  <si>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</si>
  <si>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</si>
  <si>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</si>
  <si>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</si>
  <si>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</si>
  <si>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</si>
  <si>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</si>
  <si>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</si>
  <si>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</si>
  <si>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</si>
  <si>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</si>
  <si>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</si>
  <si>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</si>
  <si>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</si>
  <si>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</si>
  <si>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</si>
  <si>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</si>
  <si>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</si>
  <si>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</si>
  <si>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</si>
  <si>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</si>
  <si>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</si>
  <si>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</si>
  <si>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</si>
  <si>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</si>
  <si>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</si>
  <si>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</si>
  <si>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</si>
  <si>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</si>
  <si>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</si>
  <si>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</si>
  <si>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</si>
  <si>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</si>
  <si>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</si>
  <si>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</si>
  <si>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</si>
  <si>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</si>
  <si>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</si>
  <si>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</si>
  <si>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</si>
  <si>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</si>
  <si>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</si>
  <si>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</si>
  <si>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</si>
  <si>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</si>
  <si>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</si>
  <si>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</si>
  <si>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</si>
  <si>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</si>
  <si>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</si>
  <si>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</si>
  <si>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</si>
  <si>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</si>
  <si>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</si>
  <si>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</si>
  <si>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</si>
  <si>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</si>
  <si>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</si>
  <si>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</si>
  <si>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</si>
  <si>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</si>
  <si>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</si>
  <si>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</si>
  <si>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</si>
  <si>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</si>
  <si>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</si>
  <si>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</si>
  <si>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</si>
  <si>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</si>
  <si>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</si>
  <si>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</si>
  <si>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</si>
  <si>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</si>
  <si>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</si>
  <si>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</si>
  <si>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</si>
  <si>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</si>
  <si>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</si>
  <si>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</si>
  <si>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</si>
  <si>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</si>
  <si>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</si>
  <si>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</si>
  <si>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</si>
  <si>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</si>
  <si>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</si>
  <si>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</si>
  <si>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</si>
  <si>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</si>
  <si>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</si>
  <si>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</si>
  <si>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</si>
  <si>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</si>
  <si>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</si>
  <si>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</si>
  <si>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</si>
  <si>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</si>
  <si>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</si>
  <si>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</si>
  <si>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</si>
  <si>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</si>
  <si>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</si>
  <si>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</si>
  <si>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</si>
  <si>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</si>
  <si>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</si>
  <si>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</si>
  <si>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</si>
  <si>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</si>
  <si>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</si>
  <si>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</si>
  <si>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</si>
  <si>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</si>
  <si>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</si>
  <si>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</si>
  <si>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</si>
  <si>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</si>
  <si>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</si>
  <si>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</si>
  <si>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</si>
  <si>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</si>
  <si>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</si>
  <si>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</si>
  <si>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</si>
  <si>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</si>
  <si>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</si>
  <si>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</si>
  <si>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</si>
  <si>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</si>
  <si>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</si>
  <si>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</si>
  <si>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</si>
  <si>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</si>
  <si>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</si>
  <si>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</si>
  <si>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</si>
  <si>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</si>
  <si>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</si>
  <si>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</si>
  <si>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</si>
  <si>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</si>
  <si>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</si>
  <si>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</si>
  <si>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</si>
  <si>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</si>
  <si>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</si>
  <si>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</si>
  <si>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</si>
  <si>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</si>
  <si>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</si>
  <si>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</si>
  <si>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</si>
  <si>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</si>
  <si>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</si>
  <si>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</si>
  <si>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</si>
  <si>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</si>
  <si>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</si>
  <si>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</si>
  <si>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</si>
  <si>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</si>
  <si>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</si>
  <si>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</si>
  <si>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</si>
  <si>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</si>
  <si>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</si>
  <si>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</si>
  <si>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</si>
  <si>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</si>
  <si>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</si>
  <si>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</si>
  <si>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</si>
  <si>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</si>
  <si>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</si>
  <si>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</si>
  <si>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</si>
  <si>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</si>
  <si>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</si>
  <si>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</si>
  <si>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</si>
  <si>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</si>
  <si>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</si>
  <si>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</si>
  <si>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</si>
  <si>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</si>
  <si>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</si>
  <si>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</si>
  <si>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</si>
  <si>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</si>
  <si>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</si>
  <si>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</si>
  <si>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</si>
  <si>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</si>
  <si>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</si>
  <si>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</si>
  <si>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</si>
  <si>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</si>
  <si>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</si>
  <si>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</si>
  <si>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</si>
  <si>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</si>
  <si>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</si>
  <si>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</si>
  <si>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</si>
  <si>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</si>
  <si>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</si>
  <si>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</si>
  <si>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</si>
  <si>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</si>
  <si>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</si>
  <si>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</si>
  <si>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</si>
  <si>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</si>
  <si>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</si>
  <si>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</si>
  <si>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</si>
  <si>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</si>
  <si>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</si>
  <si>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</si>
  <si>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</si>
  <si>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</si>
  <si>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</si>
  <si>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</si>
  <si>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</si>
  <si>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</si>
  <si>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</si>
  <si>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</si>
  <si>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</si>
  <si>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</si>
  <si>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</si>
  <si>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</si>
  <si>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</si>
  <si>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</si>
  <si>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</si>
  <si>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</si>
  <si>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</si>
  <si>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</si>
  <si>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</si>
  <si>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</si>
  <si>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</si>
  <si>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</si>
  <si>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</si>
  <si>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</si>
  <si>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</si>
  <si>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</si>
  <si>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</si>
  <si>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</si>
  <si>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</si>
  <si>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</si>
  <si>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</si>
  <si>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</si>
  <si>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</si>
  <si>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</si>
  <si>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</si>
  <si>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</si>
  <si>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</si>
  <si>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</si>
  <si>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</si>
  <si>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</si>
  <si>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</si>
  <si>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</si>
  <si>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</si>
  <si>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</si>
  <si>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</si>
  <si>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</si>
  <si>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</si>
  <si>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</si>
  <si>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</si>
  <si>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</si>
  <si>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</si>
  <si>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</si>
  <si>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</si>
  <si>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</si>
  <si>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</si>
  <si>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</si>
  <si>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</si>
  <si>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</si>
  <si>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</si>
  <si>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</si>
  <si>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</si>
  <si>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</si>
  <si>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</si>
  <si>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</si>
  <si>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</si>
  <si>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</si>
  <si>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</si>
  <si>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</si>
  <si>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</si>
  <si>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</si>
  <si>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</si>
  <si>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</si>
  <si>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</si>
  <si>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</si>
  <si>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</si>
  <si>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</si>
  <si>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</si>
  <si>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</si>
  <si>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</si>
  <si>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</si>
  <si>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</si>
  <si>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</si>
  <si>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</si>
  <si>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</si>
  <si>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</si>
  <si>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</si>
  <si>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</si>
  <si>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</si>
  <si>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</si>
  <si>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</si>
  <si>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</si>
  <si>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</si>
  <si>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</si>
  <si>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</si>
  <si>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</si>
  <si>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</si>
  <si>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</si>
  <si>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</si>
  <si>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</si>
  <si>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</si>
  <si>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</si>
  <si>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</si>
  <si>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</si>
  <si>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</si>
  <si>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</si>
  <si>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</si>
  <si>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</si>
  <si>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</si>
  <si>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</si>
  <si>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</si>
  <si>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</si>
  <si>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</si>
  <si>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</si>
  <si>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</si>
  <si>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</si>
  <si>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</si>
  <si>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</si>
  <si>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</si>
  <si>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</si>
  <si>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</si>
  <si>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</si>
  <si>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</si>
  <si>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</si>
  <si>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</si>
  <si>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</si>
  <si>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</si>
  <si>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</si>
  <si>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</si>
  <si>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</si>
  <si>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</si>
  <si>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</si>
  <si>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</si>
  <si>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</si>
  <si>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</si>
  <si>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</si>
  <si>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</si>
  <si>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</si>
  <si>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</si>
  <si>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</si>
  <si>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</si>
  <si>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</si>
  <si>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</si>
  <si>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</si>
  <si>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</si>
  <si>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</si>
  <si>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</si>
  <si>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</si>
  <si>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</si>
  <si>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</si>
  <si>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</si>
  <si>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</si>
  <si>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</si>
  <si>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</si>
  <si>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</si>
  <si>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</si>
  <si>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</si>
  <si>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</si>
  <si>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</si>
  <si>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</si>
  <si>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</si>
  <si>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</si>
  <si>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</si>
  <si>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</si>
  <si>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</si>
  <si>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</si>
  <si>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</si>
  <si>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</si>
  <si>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</si>
  <si>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</si>
  <si>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</si>
  <si>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</si>
  <si>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</si>
  <si>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</si>
  <si>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</si>
  <si>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</si>
  <si>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</si>
  <si>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</si>
  <si>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</si>
  <si>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</si>
  <si>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</si>
  <si>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</si>
  <si>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</si>
  <si>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</si>
  <si>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</si>
  <si>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</si>
  <si>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</si>
  <si>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</si>
  <si>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</si>
  <si>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</si>
  <si>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</si>
  <si>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</si>
  <si>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</si>
  <si>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</si>
  <si>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</si>
  <si>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</si>
  <si>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</si>
  <si>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</si>
  <si>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</si>
  <si>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</si>
  <si>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</si>
  <si>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</si>
  <si>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</si>
  <si>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</si>
  <si>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</si>
  <si>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</si>
  <si>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</si>
  <si>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</si>
  <si>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</si>
  <si>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</si>
  <si>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</si>
  <si>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</si>
  <si>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</si>
  <si>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</si>
  <si>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</si>
  <si>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</si>
  <si>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</si>
  <si>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</si>
  <si>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</si>
  <si>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</si>
  <si>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</si>
  <si>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</si>
  <si>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</si>
  <si>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</si>
  <si>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</si>
  <si>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</si>
  <si>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</si>
  <si>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</si>
  <si>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</si>
  <si>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</si>
  <si>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</si>
  <si>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</si>
  <si>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</si>
  <si>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</si>
  <si>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</si>
  <si>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</si>
  <si>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</si>
  <si>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</si>
  <si>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</si>
  <si>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</si>
  <si>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</si>
  <si>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</si>
  <si>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</si>
  <si>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</si>
  <si>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</si>
  <si>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</si>
  <si>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</si>
  <si>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</si>
  <si>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</si>
  <si>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</si>
  <si>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</si>
  <si>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</si>
  <si>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</si>
  <si>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</si>
  <si>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</si>
  <si>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</si>
  <si>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</si>
  <si>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</si>
  <si>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</si>
  <si>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</si>
  <si>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</si>
  <si>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</si>
  <si>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</si>
  <si>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</si>
  <si>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</si>
  <si>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</si>
  <si>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</si>
  <si>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</si>
  <si>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</si>
  <si>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</si>
  <si>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</si>
  <si>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</si>
  <si>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</si>
  <si>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</si>
  <si>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68303</t>
  </si>
  <si>
    <t>219</t>
  </si>
  <si>
    <t>Humana Employers Health Plan of Georgia, Inc.</t>
  </si>
  <si>
    <t>Humana Medical Plan, Inc.</t>
  </si>
  <si>
    <t>Humana Health Insurance Company of Florida, Inc.</t>
  </si>
  <si>
    <t>Humana Health Plan,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</si>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</sst>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I61" sqref="I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39996601</v>
      </c>
      <c r="E5" s="213">
        <f>SUM('Pt 2 Premium and Claims'!E$5,'Pt 2 Premium and Claims'!E$6,-'Pt 2 Premium and Claims'!E$7,-'Pt 2 Premium and Claims'!E$13,'Pt 2 Premium and Claims'!E$14:'Pt 2 Premium and Claims'!E$17)</f>
        <v>37986285.718042001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19369560</v>
      </c>
      <c r="J5" s="212">
        <f>SUM('Pt 2 Premium and Claims'!J$5,'Pt 2 Premium and Claims'!J$6,-'Pt 2 Premium and Claims'!J$7,-'Pt 2 Premium and Claims'!J$13,'Pt 2 Premium and Claims'!J$14,'Pt 2 Premium and Claims'!J$16:'Pt 2 Premium and Claims'!J$17)</f>
        <v>182370414</v>
      </c>
      <c r="K5" s="213">
        <f>SUM('Pt 2 Premium and Claims'!K$5,'Pt 2 Premium and Claims'!K$6,-'Pt 2 Premium and Claims'!K$7,-'Pt 2 Premium and Claims'!K$13,'Pt 2 Premium and Claims'!K$14,'Pt 2 Premium and Claims'!K$16:'Pt 2 Premium and Claims'!K$17)</f>
        <v>176557404.1152322</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130022803</v>
      </c>
      <c r="Q5" s="213">
        <f>SUM('Pt 2 Premium and Claims'!Q$5,'Pt 2 Premium and Claims'!Q$6,-'Pt 2 Premium and Claims'!Q$7,-'Pt 2 Premium and Claims'!Q$13,'Pt 2 Premium and Claims'!Q$14)</f>
        <v>134556676.1160692</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19703783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-30425</v>
      </c>
      <c r="E7" s="217">
        <v>-30425.08</v>
      </c>
      <c r="F7" s="217"/>
      <c r="G7" s="217"/>
      <c r="H7" s="217"/>
      <c r="I7" s="216">
        <v>0</v>
      </c>
      <c r="J7" s="216">
        <v>-247004</v>
      </c>
      <c r="K7" s="217">
        <v>-247003.73</v>
      </c>
      <c r="L7" s="217"/>
      <c r="M7" s="217"/>
      <c r="N7" s="217"/>
      <c r="O7" s="216"/>
      <c r="P7" s="216">
        <v>-219234</v>
      </c>
      <c r="Q7" s="217">
        <v>-218603.44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-40541</v>
      </c>
      <c r="AU7" s="220">
        <v>0</v>
      </c>
      <c r="AV7" s="290"/>
      <c r="AW7" s="297"/>
    </row>
    <row r="8" spans="1:49" ht="25.5" x14ac:dyDescent="0.2">
      <c r="B8" s="239" t="s">
        <v>225</v>
      </c>
      <c r="C8" s="203" t="s">
        <v>59</v>
      </c>
      <c r="D8" s="216">
        <v>-131752</v>
      </c>
      <c r="E8" s="268"/>
      <c r="F8" s="269"/>
      <c r="G8" s="269"/>
      <c r="H8" s="269"/>
      <c r="I8" s="272"/>
      <c r="J8" s="216">
        <v>-286152</v>
      </c>
      <c r="K8" s="268"/>
      <c r="L8" s="269"/>
      <c r="M8" s="269"/>
      <c r="N8" s="269"/>
      <c r="O8" s="272"/>
      <c r="P8" s="216">
        <v>-141731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-387827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28472551</v>
      </c>
      <c r="E12" s="213">
        <f>'Pt 2 Premium and Claims'!E$54</f>
        <v>25580582.550999999</v>
      </c>
      <c r="F12" s="213">
        <f>'Pt 2 Premium and Claims'!F$54</f>
        <v>0</v>
      </c>
      <c r="G12" s="213">
        <f>'Pt 2 Premium and Claims'!G$54</f>
        <v>0</v>
      </c>
      <c r="H12" s="213">
        <f>'Pt 2 Premium and Claims'!H$54</f>
        <v>0</v>
      </c>
      <c r="I12" s="212">
        <f>'Pt 2 Premium and Claims'!I$54</f>
        <v>23170696</v>
      </c>
      <c r="J12" s="212">
        <f>'Pt 2 Premium and Claims'!J$54</f>
        <v>131409831</v>
      </c>
      <c r="K12" s="213">
        <f>'Pt 2 Premium and Claims'!K$54</f>
        <v>131272620.09395519</v>
      </c>
      <c r="L12" s="213">
        <f>'Pt 2 Premium and Claims'!L$54</f>
        <v>0</v>
      </c>
      <c r="M12" s="213">
        <f>'Pt 2 Premium and Claims'!M$54</f>
        <v>0</v>
      </c>
      <c r="N12" s="213">
        <f>'Pt 2 Premium and Claims'!N$54</f>
        <v>0</v>
      </c>
      <c r="O12" s="212">
        <f>'Pt 2 Premium and Claims'!O$54</f>
        <v>0</v>
      </c>
      <c r="P12" s="212">
        <f>'Pt 2 Premium and Claims'!P$54</f>
        <v>111473021</v>
      </c>
      <c r="Q12" s="213">
        <f>'Pt 2 Premium and Claims'!Q$54</f>
        <v>117220789.57779752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15552373</v>
      </c>
      <c r="AU12" s="214">
        <f>'Pt 2 Premium and Claims'!AU$54</f>
        <v>0</v>
      </c>
      <c r="AV12" s="291"/>
      <c r="AW12" s="296"/>
    </row>
    <row r="13" spans="1:49" ht="25.5" x14ac:dyDescent="0.2">
      <c r="B13" s="239" t="s">
        <v>230</v>
      </c>
      <c r="C13" s="203" t="s">
        <v>37</v>
      </c>
      <c r="D13" s="216">
        <v>7150136</v>
      </c>
      <c r="E13" s="217">
        <v>7265465.3700000001</v>
      </c>
      <c r="F13" s="217"/>
      <c r="G13" s="268"/>
      <c r="H13" s="269"/>
      <c r="I13" s="216">
        <v>5140510</v>
      </c>
      <c r="J13" s="216">
        <v>26590642</v>
      </c>
      <c r="K13" s="217">
        <v>26242759.968544953</v>
      </c>
      <c r="L13" s="217"/>
      <c r="M13" s="268"/>
      <c r="N13" s="269"/>
      <c r="O13" s="216"/>
      <c r="P13" s="216">
        <v>20352350</v>
      </c>
      <c r="Q13" s="217">
        <v>20833377.212559305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123954</v>
      </c>
      <c r="AU13" s="220">
        <v>0</v>
      </c>
      <c r="AV13" s="290"/>
      <c r="AW13" s="297"/>
    </row>
    <row r="14" spans="1:49" ht="25.5" x14ac:dyDescent="0.2">
      <c r="B14" s="239" t="s">
        <v>231</v>
      </c>
      <c r="C14" s="203" t="s">
        <v>6</v>
      </c>
      <c r="D14" s="216">
        <v>701378</v>
      </c>
      <c r="E14" s="217">
        <v>692005.60000000009</v>
      </c>
      <c r="F14" s="217"/>
      <c r="G14" s="267"/>
      <c r="H14" s="270"/>
      <c r="I14" s="216">
        <v>403068</v>
      </c>
      <c r="J14" s="216">
        <v>3384171</v>
      </c>
      <c r="K14" s="217">
        <v>3265610.3367865556</v>
      </c>
      <c r="L14" s="217"/>
      <c r="M14" s="267"/>
      <c r="N14" s="270"/>
      <c r="O14" s="216"/>
      <c r="P14" s="216">
        <v>2639401</v>
      </c>
      <c r="Q14" s="217">
        <v>2752349.2206020742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223</v>
      </c>
      <c r="AU14" s="220">
        <v>0</v>
      </c>
      <c r="AV14" s="290"/>
      <c r="AW14" s="297"/>
    </row>
    <row r="15" spans="1:49" ht="38.25" x14ac:dyDescent="0.2">
      <c r="B15" s="239" t="s">
        <v>232</v>
      </c>
      <c r="C15" s="203" t="s">
        <v>7</v>
      </c>
      <c r="D15" s="216">
        <v>1399</v>
      </c>
      <c r="E15" s="217">
        <v>1399.39</v>
      </c>
      <c r="F15" s="217"/>
      <c r="G15" s="267"/>
      <c r="H15" s="273"/>
      <c r="I15" s="216">
        <v>748</v>
      </c>
      <c r="J15" s="216">
        <v>6201</v>
      </c>
      <c r="K15" s="217">
        <v>6016.5083666340952</v>
      </c>
      <c r="L15" s="217"/>
      <c r="M15" s="267"/>
      <c r="N15" s="273"/>
      <c r="O15" s="216"/>
      <c r="P15" s="216">
        <v>4801</v>
      </c>
      <c r="Q15" s="217">
        <v>4972.1616333659049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690</v>
      </c>
      <c r="AU15" s="220">
        <v>0</v>
      </c>
      <c r="AV15" s="290"/>
      <c r="AW15" s="297"/>
    </row>
    <row r="16" spans="1:49" ht="25.5" x14ac:dyDescent="0.2">
      <c r="B16" s="239" t="s">
        <v>233</v>
      </c>
      <c r="C16" s="203" t="s">
        <v>61</v>
      </c>
      <c r="D16" s="216">
        <v>-4036323</v>
      </c>
      <c r="E16" s="268"/>
      <c r="F16" s="269"/>
      <c r="G16" s="270"/>
      <c r="H16" s="270"/>
      <c r="I16" s="272"/>
      <c r="J16" s="216">
        <v>0</v>
      </c>
      <c r="K16" s="268"/>
      <c r="L16" s="269"/>
      <c r="M16" s="270"/>
      <c r="N16" s="270"/>
      <c r="O16" s="272"/>
      <c r="P16" s="216">
        <v>18277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-337569</v>
      </c>
      <c r="AU16" s="220">
        <v>0</v>
      </c>
      <c r="AV16" s="290"/>
      <c r="AW16" s="297"/>
    </row>
    <row r="17" spans="1:49" x14ac:dyDescent="0.2">
      <c r="B17" s="239" t="s">
        <v>234</v>
      </c>
      <c r="C17" s="203" t="s">
        <v>62</v>
      </c>
      <c r="D17" s="216">
        <v>6628271</v>
      </c>
      <c r="E17" s="267"/>
      <c r="F17" s="270"/>
      <c r="G17" s="270"/>
      <c r="H17" s="270"/>
      <c r="I17" s="271"/>
      <c r="J17" s="216">
        <v>-183</v>
      </c>
      <c r="K17" s="267"/>
      <c r="L17" s="270"/>
      <c r="M17" s="270"/>
      <c r="N17" s="270"/>
      <c r="O17" s="271"/>
      <c r="P17" s="216">
        <v>-1031683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211</v>
      </c>
      <c r="E19" s="267"/>
      <c r="F19" s="270"/>
      <c r="G19" s="270"/>
      <c r="H19" s="270"/>
      <c r="I19" s="271"/>
      <c r="J19" s="216">
        <v>28</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748543</v>
      </c>
      <c r="E20" s="267"/>
      <c r="F20" s="270"/>
      <c r="G20" s="270"/>
      <c r="H20" s="270"/>
      <c r="I20" s="271"/>
      <c r="J20" s="216">
        <v>0</v>
      </c>
      <c r="K20" s="267"/>
      <c r="L20" s="270"/>
      <c r="M20" s="270"/>
      <c r="N20" s="270"/>
      <c r="O20" s="271"/>
      <c r="P20" s="216">
        <v>422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38925.160000000003</v>
      </c>
      <c r="E22" s="222">
        <f>'Pt 2 Premium and Claims'!E$55</f>
        <v>38925.160000000003</v>
      </c>
      <c r="F22" s="222">
        <f>'Pt 2 Premium and Claims'!F$55</f>
        <v>0</v>
      </c>
      <c r="G22" s="222">
        <f>'Pt 2 Premium and Claims'!G$55</f>
        <v>0</v>
      </c>
      <c r="H22" s="222">
        <f>'Pt 2 Premium and Claims'!H$55</f>
        <v>0</v>
      </c>
      <c r="I22" s="221">
        <f>'Pt 2 Premium and Claims'!I$55</f>
        <v>15085</v>
      </c>
      <c r="J22" s="221">
        <f>'Pt 2 Premium and Claims'!J$55</f>
        <v>225082.01</v>
      </c>
      <c r="K22" s="222">
        <f>'Pt 2 Premium and Claims'!K$55</f>
        <v>218386.98041590766</v>
      </c>
      <c r="L22" s="222">
        <f>'Pt 2 Premium and Claims'!L$55</f>
        <v>0</v>
      </c>
      <c r="M22" s="222">
        <f>'Pt 2 Premium and Claims'!M$55</f>
        <v>0</v>
      </c>
      <c r="N22" s="222">
        <f>'Pt 2 Premium and Claims'!N$55</f>
        <v>0</v>
      </c>
      <c r="O22" s="221">
        <f>'Pt 2 Premium and Claims'!O$55</f>
        <v>0</v>
      </c>
      <c r="P22" s="221">
        <f>'Pt 2 Premium and Claims'!P$55</f>
        <v>171916.91</v>
      </c>
      <c r="Q22" s="222">
        <f>'Pt 2 Premium and Claims'!Q$55</f>
        <v>178006.25958409233</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611656.1</v>
      </c>
      <c r="E25" s="217">
        <v>611656.47754788026</v>
      </c>
      <c r="F25" s="217"/>
      <c r="G25" s="217"/>
      <c r="H25" s="217"/>
      <c r="I25" s="216">
        <v>152001</v>
      </c>
      <c r="J25" s="216">
        <v>11175131.82</v>
      </c>
      <c r="K25" s="217">
        <v>10524516.940766672</v>
      </c>
      <c r="L25" s="217"/>
      <c r="M25" s="217"/>
      <c r="N25" s="217"/>
      <c r="O25" s="216"/>
      <c r="P25" s="216">
        <v>-2193402.06</v>
      </c>
      <c r="Q25" s="217">
        <v>-1429538.8888399957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448460.22</v>
      </c>
      <c r="AU25" s="220"/>
      <c r="AV25" s="220"/>
      <c r="AW25" s="297"/>
    </row>
    <row r="26" spans="1:49" s="5" customFormat="1" x14ac:dyDescent="0.2">
      <c r="A26" s="35"/>
      <c r="B26" s="242" t="s">
        <v>242</v>
      </c>
      <c r="C26" s="203"/>
      <c r="D26" s="216">
        <v>28074.69</v>
      </c>
      <c r="E26" s="217">
        <v>28074.69</v>
      </c>
      <c r="F26" s="217"/>
      <c r="G26" s="217"/>
      <c r="H26" s="217"/>
      <c r="I26" s="216">
        <v>5183</v>
      </c>
      <c r="J26" s="216">
        <v>88253.56</v>
      </c>
      <c r="K26" s="217">
        <v>85600.440911016936</v>
      </c>
      <c r="L26" s="217"/>
      <c r="M26" s="217"/>
      <c r="N26" s="217"/>
      <c r="O26" s="216"/>
      <c r="P26" s="216">
        <v>70895.09</v>
      </c>
      <c r="Q26" s="217">
        <v>73367.929088983059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1202.98</v>
      </c>
      <c r="AU26" s="220"/>
      <c r="AV26" s="220"/>
      <c r="AW26" s="297"/>
    </row>
    <row r="27" spans="1:49" s="5" customFormat="1" x14ac:dyDescent="0.2">
      <c r="B27" s="242" t="s">
        <v>243</v>
      </c>
      <c r="C27" s="203"/>
      <c r="D27" s="216">
        <v>654290.47</v>
      </c>
      <c r="E27" s="217">
        <v>654290.47</v>
      </c>
      <c r="F27" s="217"/>
      <c r="G27" s="217"/>
      <c r="H27" s="217"/>
      <c r="I27" s="216">
        <v>344084</v>
      </c>
      <c r="J27" s="216">
        <v>2953901.03</v>
      </c>
      <c r="K27" s="217">
        <v>2866530.8275253796</v>
      </c>
      <c r="L27" s="217"/>
      <c r="M27" s="217"/>
      <c r="N27" s="217"/>
      <c r="O27" s="216"/>
      <c r="P27" s="216">
        <v>2281060.0499999998</v>
      </c>
      <c r="Q27" s="217">
        <v>2361999.3724746206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48020.3</v>
      </c>
      <c r="AU27" s="220"/>
      <c r="AV27" s="293"/>
      <c r="AW27" s="297"/>
    </row>
    <row r="28" spans="1:49" s="5" customFormat="1" x14ac:dyDescent="0.2">
      <c r="A28" s="35"/>
      <c r="B28" s="242" t="s">
        <v>244</v>
      </c>
      <c r="C28" s="203"/>
      <c r="D28" s="216">
        <v>77086.55</v>
      </c>
      <c r="E28" s="217">
        <v>77086.55</v>
      </c>
      <c r="F28" s="217"/>
      <c r="G28" s="217"/>
      <c r="H28" s="217"/>
      <c r="I28" s="216">
        <v>24646</v>
      </c>
      <c r="J28" s="216">
        <v>278284.71999999997</v>
      </c>
      <c r="K28" s="217">
        <v>269937.5424705671</v>
      </c>
      <c r="L28" s="217"/>
      <c r="M28" s="217"/>
      <c r="N28" s="217"/>
      <c r="O28" s="216"/>
      <c r="P28" s="216">
        <v>218253.6</v>
      </c>
      <c r="Q28" s="217">
        <v>225560.25752943289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30638.400000000001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57548.41</v>
      </c>
      <c r="E30" s="217">
        <v>57548.439544007328</v>
      </c>
      <c r="F30" s="217"/>
      <c r="G30" s="217"/>
      <c r="H30" s="217"/>
      <c r="I30" s="216">
        <v>15066</v>
      </c>
      <c r="J30" s="216">
        <v>910238.15</v>
      </c>
      <c r="K30" s="217">
        <v>858247.093044159</v>
      </c>
      <c r="L30" s="217"/>
      <c r="M30" s="217"/>
      <c r="N30" s="217"/>
      <c r="O30" s="216"/>
      <c r="P30" s="216">
        <v>-143944.65</v>
      </c>
      <c r="Q30" s="217">
        <v>-83215.229590493327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39066.76</v>
      </c>
      <c r="AU30" s="220"/>
      <c r="AV30" s="220"/>
      <c r="AW30" s="297"/>
    </row>
    <row r="31" spans="1:49" x14ac:dyDescent="0.2">
      <c r="B31" s="242" t="s">
        <v>247</v>
      </c>
      <c r="C31" s="203"/>
      <c r="D31" s="216">
        <v>141322.26999999999</v>
      </c>
      <c r="E31" s="217">
        <v>141322.26999999999</v>
      </c>
      <c r="F31" s="217"/>
      <c r="G31" s="217"/>
      <c r="H31" s="217"/>
      <c r="I31" s="216">
        <v>55476</v>
      </c>
      <c r="J31" s="216">
        <v>813924.75</v>
      </c>
      <c r="K31" s="217">
        <v>790169.01330873824</v>
      </c>
      <c r="L31" s="217"/>
      <c r="M31" s="217"/>
      <c r="N31" s="217"/>
      <c r="O31" s="216"/>
      <c r="P31" s="216">
        <v>609303.27</v>
      </c>
      <c r="Q31" s="217">
        <v>633056.43669126183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89839.9</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249447.09</v>
      </c>
      <c r="E34" s="217">
        <v>329503.57</v>
      </c>
      <c r="F34" s="217"/>
      <c r="G34" s="217"/>
      <c r="H34" s="217"/>
      <c r="I34" s="216">
        <v>106833</v>
      </c>
      <c r="J34" s="216">
        <v>1575927.34</v>
      </c>
      <c r="K34" s="217">
        <v>1529551.3536439247</v>
      </c>
      <c r="L34" s="217"/>
      <c r="M34" s="217"/>
      <c r="N34" s="217"/>
      <c r="O34" s="216"/>
      <c r="P34" s="216">
        <v>1165480.3400000001</v>
      </c>
      <c r="Q34" s="217">
        <v>1211856.3263560755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183682.04</v>
      </c>
      <c r="E35" s="217">
        <v>183682.04</v>
      </c>
      <c r="F35" s="217"/>
      <c r="G35" s="217"/>
      <c r="H35" s="217"/>
      <c r="I35" s="216">
        <v>167134</v>
      </c>
      <c r="J35" s="216">
        <v>95204.54</v>
      </c>
      <c r="K35" s="217">
        <v>92398.35020137942</v>
      </c>
      <c r="L35" s="217"/>
      <c r="M35" s="217"/>
      <c r="N35" s="217"/>
      <c r="O35" s="216"/>
      <c r="P35" s="216">
        <v>70789.94</v>
      </c>
      <c r="Q35" s="217">
        <v>73266.349798620577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61956.27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127366</v>
      </c>
      <c r="E37" s="225">
        <v>127366.06</v>
      </c>
      <c r="F37" s="225"/>
      <c r="G37" s="225"/>
      <c r="H37" s="225"/>
      <c r="I37" s="224">
        <v>44038</v>
      </c>
      <c r="J37" s="224">
        <v>327635</v>
      </c>
      <c r="K37" s="225">
        <v>315078.58214644901</v>
      </c>
      <c r="L37" s="225"/>
      <c r="M37" s="225"/>
      <c r="N37" s="225"/>
      <c r="O37" s="224"/>
      <c r="P37" s="224">
        <v>448011</v>
      </c>
      <c r="Q37" s="225">
        <v>444747.30785355094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95</v>
      </c>
      <c r="AU37" s="226">
        <v>0</v>
      </c>
      <c r="AV37" s="226">
        <v>692601</v>
      </c>
      <c r="AW37" s="296"/>
    </row>
    <row r="38" spans="1:49" x14ac:dyDescent="0.2">
      <c r="B38" s="239" t="s">
        <v>254</v>
      </c>
      <c r="C38" s="203" t="s">
        <v>16</v>
      </c>
      <c r="D38" s="216">
        <v>72173</v>
      </c>
      <c r="E38" s="217">
        <v>72173.119999999995</v>
      </c>
      <c r="F38" s="217"/>
      <c r="G38" s="217"/>
      <c r="H38" s="217"/>
      <c r="I38" s="216">
        <v>25626</v>
      </c>
      <c r="J38" s="216">
        <v>76859</v>
      </c>
      <c r="K38" s="217">
        <v>71833.304411837555</v>
      </c>
      <c r="L38" s="217"/>
      <c r="M38" s="217"/>
      <c r="N38" s="217"/>
      <c r="O38" s="216"/>
      <c r="P38" s="216">
        <v>253174</v>
      </c>
      <c r="Q38" s="217">
        <v>243011.42558816244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302752</v>
      </c>
      <c r="AW38" s="297"/>
    </row>
    <row r="39" spans="1:49" x14ac:dyDescent="0.2">
      <c r="B39" s="242" t="s">
        <v>255</v>
      </c>
      <c r="C39" s="203" t="s">
        <v>17</v>
      </c>
      <c r="D39" s="216">
        <v>43292</v>
      </c>
      <c r="E39" s="217">
        <v>43292.38</v>
      </c>
      <c r="F39" s="217"/>
      <c r="G39" s="217"/>
      <c r="H39" s="217"/>
      <c r="I39" s="216">
        <v>16132</v>
      </c>
      <c r="J39" s="216">
        <v>179225</v>
      </c>
      <c r="K39" s="217">
        <v>173514.90729587074</v>
      </c>
      <c r="L39" s="217"/>
      <c r="M39" s="217"/>
      <c r="N39" s="217"/>
      <c r="O39" s="216"/>
      <c r="P39" s="216">
        <v>166200</v>
      </c>
      <c r="Q39" s="217">
        <v>169268.70270412925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2301</v>
      </c>
      <c r="AU39" s="220">
        <v>0</v>
      </c>
      <c r="AV39" s="220">
        <v>202938</v>
      </c>
      <c r="AW39" s="297"/>
    </row>
    <row r="40" spans="1:49" x14ac:dyDescent="0.2">
      <c r="B40" s="242" t="s">
        <v>256</v>
      </c>
      <c r="C40" s="203" t="s">
        <v>38</v>
      </c>
      <c r="D40" s="216">
        <v>178593</v>
      </c>
      <c r="E40" s="217">
        <v>178592.51</v>
      </c>
      <c r="F40" s="217"/>
      <c r="G40" s="217"/>
      <c r="H40" s="217"/>
      <c r="I40" s="216">
        <v>66084</v>
      </c>
      <c r="J40" s="216">
        <v>1349314</v>
      </c>
      <c r="K40" s="217">
        <v>1307325.5671355575</v>
      </c>
      <c r="L40" s="217"/>
      <c r="M40" s="217"/>
      <c r="N40" s="217"/>
      <c r="O40" s="216"/>
      <c r="P40" s="216">
        <v>1158810</v>
      </c>
      <c r="Q40" s="217">
        <v>1189887.8828644424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12899</v>
      </c>
      <c r="AU40" s="220">
        <v>0</v>
      </c>
      <c r="AV40" s="220">
        <v>924251</v>
      </c>
      <c r="AW40" s="297"/>
    </row>
    <row r="41" spans="1:49" s="5" customFormat="1" ht="25.5" x14ac:dyDescent="0.2">
      <c r="A41" s="35"/>
      <c r="B41" s="242" t="s">
        <v>257</v>
      </c>
      <c r="C41" s="203" t="s">
        <v>129</v>
      </c>
      <c r="D41" s="216">
        <v>48953</v>
      </c>
      <c r="E41" s="217">
        <v>48953.02</v>
      </c>
      <c r="F41" s="217"/>
      <c r="G41" s="217"/>
      <c r="H41" s="217"/>
      <c r="I41" s="216">
        <v>11986</v>
      </c>
      <c r="J41" s="216">
        <v>225872</v>
      </c>
      <c r="K41" s="217">
        <v>219192.30786184725</v>
      </c>
      <c r="L41" s="217"/>
      <c r="M41" s="217"/>
      <c r="N41" s="217"/>
      <c r="O41" s="216"/>
      <c r="P41" s="216">
        <v>170012</v>
      </c>
      <c r="Q41" s="217">
        <v>176177.55213815277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20989</v>
      </c>
      <c r="AU41" s="220">
        <v>0</v>
      </c>
      <c r="AV41" s="220">
        <v>575470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295199</v>
      </c>
      <c r="E44" s="225">
        <v>295199.42</v>
      </c>
      <c r="F44" s="225"/>
      <c r="G44" s="225"/>
      <c r="H44" s="225"/>
      <c r="I44" s="224">
        <v>146361</v>
      </c>
      <c r="J44" s="224">
        <v>1799372</v>
      </c>
      <c r="K44" s="225">
        <v>1745558.9087239865</v>
      </c>
      <c r="L44" s="225"/>
      <c r="M44" s="225"/>
      <c r="N44" s="225"/>
      <c r="O44" s="224"/>
      <c r="P44" s="224">
        <v>1403437</v>
      </c>
      <c r="Q44" s="225">
        <v>1451191.4612760136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105699</v>
      </c>
      <c r="AU44" s="226">
        <v>0</v>
      </c>
      <c r="AV44" s="226">
        <v>3290121</v>
      </c>
      <c r="AW44" s="296"/>
    </row>
    <row r="45" spans="1:49" x14ac:dyDescent="0.2">
      <c r="B45" s="245" t="s">
        <v>261</v>
      </c>
      <c r="C45" s="203" t="s">
        <v>19</v>
      </c>
      <c r="D45" s="216">
        <v>241455</v>
      </c>
      <c r="E45" s="217">
        <v>241454.52</v>
      </c>
      <c r="F45" s="217"/>
      <c r="G45" s="217"/>
      <c r="H45" s="217"/>
      <c r="I45" s="216">
        <v>102865</v>
      </c>
      <c r="J45" s="216">
        <v>923136</v>
      </c>
      <c r="K45" s="217">
        <v>895782.94035998185</v>
      </c>
      <c r="L45" s="217"/>
      <c r="M45" s="217"/>
      <c r="N45" s="217"/>
      <c r="O45" s="216"/>
      <c r="P45" s="216">
        <v>702335</v>
      </c>
      <c r="Q45" s="217">
        <v>727528.91964001826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113808</v>
      </c>
      <c r="AU45" s="220">
        <v>0</v>
      </c>
      <c r="AV45" s="220">
        <v>2709225</v>
      </c>
      <c r="AW45" s="297"/>
    </row>
    <row r="46" spans="1:49" x14ac:dyDescent="0.2">
      <c r="B46" s="245" t="s">
        <v>262</v>
      </c>
      <c r="C46" s="203" t="s">
        <v>20</v>
      </c>
      <c r="D46" s="216">
        <v>71003</v>
      </c>
      <c r="E46" s="217">
        <v>71003.039999999994</v>
      </c>
      <c r="F46" s="217"/>
      <c r="G46" s="217"/>
      <c r="H46" s="217"/>
      <c r="I46" s="216">
        <v>52012</v>
      </c>
      <c r="J46" s="216">
        <v>623662</v>
      </c>
      <c r="K46" s="217">
        <v>605042.45494136109</v>
      </c>
      <c r="L46" s="217"/>
      <c r="M46" s="217"/>
      <c r="N46" s="217"/>
      <c r="O46" s="216"/>
      <c r="P46" s="216">
        <v>480488</v>
      </c>
      <c r="Q46" s="217">
        <v>497921.49505863892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39165</v>
      </c>
      <c r="AU46" s="220">
        <v>0</v>
      </c>
      <c r="AV46" s="220">
        <v>958039</v>
      </c>
      <c r="AW46" s="297"/>
    </row>
    <row r="47" spans="1:49" x14ac:dyDescent="0.2">
      <c r="B47" s="245" t="s">
        <v>263</v>
      </c>
      <c r="C47" s="203" t="s">
        <v>21</v>
      </c>
      <c r="D47" s="216">
        <v>1007410</v>
      </c>
      <c r="E47" s="217">
        <v>1007410.17</v>
      </c>
      <c r="F47" s="217"/>
      <c r="G47" s="217"/>
      <c r="H47" s="217"/>
      <c r="I47" s="216">
        <v>267523</v>
      </c>
      <c r="J47" s="216">
        <v>8286656</v>
      </c>
      <c r="K47" s="217">
        <v>8044306.1965609817</v>
      </c>
      <c r="L47" s="217"/>
      <c r="M47" s="217"/>
      <c r="N47" s="217"/>
      <c r="O47" s="216"/>
      <c r="P47" s="216">
        <v>6059567</v>
      </c>
      <c r="Q47" s="217">
        <v>6301530.1034390181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4055212</v>
      </c>
      <c r="AU47" s="220">
        <v>0</v>
      </c>
      <c r="AV47" s="220">
        <v>465540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11182.28</v>
      </c>
      <c r="E49" s="217">
        <v>11182.28</v>
      </c>
      <c r="F49" s="217"/>
      <c r="G49" s="217"/>
      <c r="H49" s="217"/>
      <c r="I49" s="216">
        <v>-6105</v>
      </c>
      <c r="J49" s="216">
        <v>320528.99</v>
      </c>
      <c r="K49" s="217">
        <v>320232.05932604003</v>
      </c>
      <c r="L49" s="217"/>
      <c r="M49" s="217"/>
      <c r="N49" s="217"/>
      <c r="O49" s="216"/>
      <c r="P49" s="216">
        <v>-62170.3</v>
      </c>
      <c r="Q49" s="217">
        <v>-58641.509326040039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13476.41</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2424358</v>
      </c>
      <c r="E51" s="217">
        <v>2424357.9500000002</v>
      </c>
      <c r="F51" s="217"/>
      <c r="G51" s="217"/>
      <c r="H51" s="217"/>
      <c r="I51" s="216">
        <v>748549</v>
      </c>
      <c r="J51" s="216">
        <v>8780046</v>
      </c>
      <c r="K51" s="217">
        <v>8523959.5135746635</v>
      </c>
      <c r="L51" s="217"/>
      <c r="M51" s="217"/>
      <c r="N51" s="217"/>
      <c r="O51" s="216"/>
      <c r="P51" s="216">
        <v>6403429</v>
      </c>
      <c r="Q51" s="217">
        <v>6627056.7564253369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-1691311</v>
      </c>
      <c r="AU51" s="220">
        <v>0</v>
      </c>
      <c r="AV51" s="220">
        <v>18114591</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3883</v>
      </c>
      <c r="E56" s="229">
        <v>3883</v>
      </c>
      <c r="F56" s="229"/>
      <c r="G56" s="229"/>
      <c r="H56" s="229"/>
      <c r="I56" s="228">
        <v>1370</v>
      </c>
      <c r="J56" s="228">
        <v>16781</v>
      </c>
      <c r="K56" s="229">
        <v>16781</v>
      </c>
      <c r="L56" s="229"/>
      <c r="M56" s="229"/>
      <c r="N56" s="229"/>
      <c r="O56" s="228"/>
      <c r="P56" s="228">
        <v>14607</v>
      </c>
      <c r="Q56" s="229">
        <v>14222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29058</v>
      </c>
      <c r="AU56" s="230">
        <v>0</v>
      </c>
      <c r="AV56" s="230">
        <v>40529</v>
      </c>
      <c r="AW56" s="288"/>
    </row>
    <row r="57" spans="2:49" x14ac:dyDescent="0.2">
      <c r="B57" s="245" t="s">
        <v>272</v>
      </c>
      <c r="C57" s="203" t="s">
        <v>25</v>
      </c>
      <c r="D57" s="231">
        <v>6561</v>
      </c>
      <c r="E57" s="232">
        <v>6561</v>
      </c>
      <c r="F57" s="232"/>
      <c r="G57" s="232"/>
      <c r="H57" s="232"/>
      <c r="I57" s="231">
        <v>2084</v>
      </c>
      <c r="J57" s="231">
        <v>29829</v>
      </c>
      <c r="K57" s="232">
        <v>28715</v>
      </c>
      <c r="L57" s="232"/>
      <c r="M57" s="232"/>
      <c r="N57" s="232"/>
      <c r="O57" s="231"/>
      <c r="P57" s="231">
        <v>25737</v>
      </c>
      <c r="Q57" s="232">
        <v>26128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49605</v>
      </c>
      <c r="AU57" s="233">
        <v>0</v>
      </c>
      <c r="AV57" s="233">
        <v>91666</v>
      </c>
      <c r="AW57" s="289"/>
    </row>
    <row r="58" spans="2:49" x14ac:dyDescent="0.2">
      <c r="B58" s="245" t="s">
        <v>273</v>
      </c>
      <c r="C58" s="203" t="s">
        <v>26</v>
      </c>
      <c r="D58" s="309"/>
      <c r="E58" s="310"/>
      <c r="F58" s="310"/>
      <c r="G58" s="310"/>
      <c r="H58" s="310"/>
      <c r="I58" s="309"/>
      <c r="J58" s="231">
        <v>2324</v>
      </c>
      <c r="K58" s="232">
        <v>2324</v>
      </c>
      <c r="L58" s="232"/>
      <c r="M58" s="232"/>
      <c r="N58" s="232"/>
      <c r="O58" s="231"/>
      <c r="P58" s="231">
        <v>373</v>
      </c>
      <c r="Q58" s="232">
        <v>373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232</v>
      </c>
      <c r="AU58" s="233">
        <v>0</v>
      </c>
      <c r="AV58" s="233">
        <v>20</v>
      </c>
      <c r="AW58" s="289"/>
    </row>
    <row r="59" spans="2:49" x14ac:dyDescent="0.2">
      <c r="B59" s="245" t="s">
        <v>274</v>
      </c>
      <c r="C59" s="203" t="s">
        <v>27</v>
      </c>
      <c r="D59" s="231">
        <v>86433</v>
      </c>
      <c r="E59" s="232">
        <v>86198</v>
      </c>
      <c r="F59" s="232"/>
      <c r="G59" s="232"/>
      <c r="H59" s="232"/>
      <c r="I59" s="231">
        <v>28148</v>
      </c>
      <c r="J59" s="231">
        <v>410156</v>
      </c>
      <c r="K59" s="232">
        <v>397474</v>
      </c>
      <c r="L59" s="232"/>
      <c r="M59" s="232"/>
      <c r="N59" s="232"/>
      <c r="O59" s="231"/>
      <c r="P59" s="231">
        <v>315214</v>
      </c>
      <c r="Q59" s="232">
        <v>319074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573946</v>
      </c>
      <c r="AU59" s="233">
        <v>0</v>
      </c>
      <c r="AV59" s="233">
        <v>1094684</v>
      </c>
      <c r="AW59" s="289"/>
    </row>
    <row r="60" spans="2:49" x14ac:dyDescent="0.2">
      <c r="B60" s="245" t="s">
        <v>275</v>
      </c>
      <c r="C60" s="203"/>
      <c r="D60" s="234">
        <f t="shared" ref="D60:AC60" si="0">D$59/12</f>
        <v>7202.75</v>
      </c>
      <c r="E60" s="235">
        <f t="shared" si="0"/>
        <v>7183.166666666667</v>
      </c>
      <c r="F60" s="235">
        <f t="shared" si="0"/>
        <v>0</v>
      </c>
      <c r="G60" s="235">
        <f t="shared" si="0"/>
        <v>0</v>
      </c>
      <c r="H60" s="235">
        <f t="shared" si="0"/>
        <v>0</v>
      </c>
      <c r="I60" s="234">
        <f t="shared" si="0"/>
        <v>2345.6666666666665</v>
      </c>
      <c r="J60" s="234">
        <f t="shared" si="0"/>
        <v>34179.666666666664</v>
      </c>
      <c r="K60" s="235">
        <f t="shared" si="0"/>
        <v>33122.833333333336</v>
      </c>
      <c r="L60" s="235">
        <f t="shared" si="0"/>
        <v>0</v>
      </c>
      <c r="M60" s="235">
        <f t="shared" si="0"/>
        <v>0</v>
      </c>
      <c r="N60" s="235">
        <f t="shared" si="0"/>
        <v>0</v>
      </c>
      <c r="O60" s="234">
        <f t="shared" si="0"/>
        <v>0</v>
      </c>
      <c r="P60" s="234">
        <f t="shared" si="0"/>
        <v>26267.833333333332</v>
      </c>
      <c r="Q60" s="235">
        <f t="shared" si="0"/>
        <v>26589.5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47828.833333333336</v>
      </c>
      <c r="AU60" s="236">
        <f>AU$59/12</f>
        <v>0</v>
      </c>
      <c r="AV60" s="236">
        <f>AV$59/12</f>
        <v>91223.666666666672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675" yWindow="61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N17" sqref="N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39979852</v>
      </c>
      <c r="E5" s="326">
        <v>30799902.728041999</v>
      </c>
      <c r="F5" s="326"/>
      <c r="G5" s="328"/>
      <c r="H5" s="328"/>
      <c r="I5" s="325">
        <v>12183177</v>
      </c>
      <c r="J5" s="325">
        <v>182370414</v>
      </c>
      <c r="K5" s="326">
        <v>175214321.60523221</v>
      </c>
      <c r="L5" s="326"/>
      <c r="M5" s="326"/>
      <c r="N5" s="326"/>
      <c r="O5" s="325"/>
      <c r="P5" s="325">
        <v>130022803</v>
      </c>
      <c r="Q5" s="326">
        <v>134556676.1160692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19702279</v>
      </c>
      <c r="AU5" s="327">
        <v>0</v>
      </c>
      <c r="AV5" s="369"/>
      <c r="AW5" s="373"/>
    </row>
    <row r="6" spans="2:49" x14ac:dyDescent="0.2">
      <c r="B6" s="343" t="s">
        <v>278</v>
      </c>
      <c r="C6" s="331" t="s">
        <v>8</v>
      </c>
      <c r="D6" s="318">
        <v>417387</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38974</v>
      </c>
      <c r="AU6" s="321">
        <v>0</v>
      </c>
      <c r="AV6" s="368"/>
      <c r="AW6" s="374"/>
    </row>
    <row r="7" spans="2:49" x14ac:dyDescent="0.2">
      <c r="B7" s="343" t="s">
        <v>279</v>
      </c>
      <c r="C7" s="331" t="s">
        <v>9</v>
      </c>
      <c r="D7" s="318">
        <v>400638</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37470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-520037</v>
      </c>
      <c r="E9" s="362"/>
      <c r="F9" s="362"/>
      <c r="G9" s="362"/>
      <c r="H9" s="362"/>
      <c r="I9" s="364"/>
      <c r="J9" s="318">
        <v>211</v>
      </c>
      <c r="K9" s="362"/>
      <c r="L9" s="362"/>
      <c r="M9" s="362"/>
      <c r="N9" s="362"/>
      <c r="O9" s="364"/>
      <c r="P9" s="318">
        <v>1158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-3532716</v>
      </c>
      <c r="E11" s="319"/>
      <c r="F11" s="319"/>
      <c r="G11" s="319"/>
      <c r="H11" s="319"/>
      <c r="I11" s="318">
        <v>0</v>
      </c>
      <c r="J11" s="318">
        <v>0</v>
      </c>
      <c r="K11" s="319"/>
      <c r="L11" s="319"/>
      <c r="M11" s="319"/>
      <c r="N11" s="319"/>
      <c r="O11" s="318"/>
      <c r="P11" s="318">
        <v>422</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-5697893</v>
      </c>
      <c r="E12" s="363"/>
      <c r="F12" s="363"/>
      <c r="G12" s="363"/>
      <c r="H12" s="363"/>
      <c r="I12" s="365"/>
      <c r="J12" s="318">
        <v>28</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3776222.99</v>
      </c>
      <c r="F15" s="319"/>
      <c r="G15" s="319"/>
      <c r="H15" s="319"/>
      <c r="I15" s="318">
        <v>3776223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3410160</v>
      </c>
      <c r="F16" s="319"/>
      <c r="G16" s="319"/>
      <c r="H16" s="319"/>
      <c r="I16" s="318">
        <v>3410160</v>
      </c>
      <c r="J16" s="318"/>
      <c r="K16" s="319">
        <v>1343082.51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-155190</v>
      </c>
      <c r="AU19" s="321">
        <v>0</v>
      </c>
      <c r="AV19" s="368"/>
      <c r="AW19" s="374"/>
    </row>
    <row r="20" spans="2:49" s="5" customFormat="1" ht="25.5" x14ac:dyDescent="0.2">
      <c r="B20" s="345" t="s">
        <v>430</v>
      </c>
      <c r="C20" s="331"/>
      <c r="D20" s="318"/>
      <c r="E20" s="319">
        <v>1160102.3700000001</v>
      </c>
      <c r="F20" s="319"/>
      <c r="G20" s="319"/>
      <c r="H20" s="319"/>
      <c r="I20" s="318">
        <v>1160466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45148792</v>
      </c>
      <c r="E23" s="362"/>
      <c r="F23" s="362"/>
      <c r="G23" s="362"/>
      <c r="H23" s="362"/>
      <c r="I23" s="364"/>
      <c r="J23" s="318">
        <v>188401506</v>
      </c>
      <c r="K23" s="362"/>
      <c r="L23" s="362"/>
      <c r="M23" s="362"/>
      <c r="N23" s="362"/>
      <c r="O23" s="364"/>
      <c r="P23" s="318">
        <v>66779424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16180267</v>
      </c>
      <c r="AU23" s="321">
        <v>0</v>
      </c>
      <c r="AV23" s="368"/>
      <c r="AW23" s="374"/>
    </row>
    <row r="24" spans="2:49" ht="28.5" customHeight="1" x14ac:dyDescent="0.2">
      <c r="B24" s="345" t="s">
        <v>114</v>
      </c>
      <c r="C24" s="331"/>
      <c r="D24" s="365"/>
      <c r="E24" s="319">
        <v>37066166.189999998</v>
      </c>
      <c r="F24" s="319"/>
      <c r="G24" s="319"/>
      <c r="H24" s="319"/>
      <c r="I24" s="318">
        <v>22712239</v>
      </c>
      <c r="J24" s="365"/>
      <c r="K24" s="319">
        <v>134200182.18000001</v>
      </c>
      <c r="L24" s="319"/>
      <c r="M24" s="319"/>
      <c r="N24" s="319"/>
      <c r="O24" s="318"/>
      <c r="P24" s="365"/>
      <c r="Q24" s="319">
        <v>117211063.54000001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4609298</v>
      </c>
      <c r="E26" s="362"/>
      <c r="F26" s="362"/>
      <c r="G26" s="362"/>
      <c r="H26" s="362"/>
      <c r="I26" s="364"/>
      <c r="J26" s="318">
        <v>-39430542</v>
      </c>
      <c r="K26" s="362"/>
      <c r="L26" s="362"/>
      <c r="M26" s="362"/>
      <c r="N26" s="362"/>
      <c r="O26" s="364"/>
      <c r="P26" s="318">
        <v>63149745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2427602</v>
      </c>
      <c r="AU26" s="321">
        <v>0</v>
      </c>
      <c r="AV26" s="368"/>
      <c r="AW26" s="374"/>
    </row>
    <row r="27" spans="2:49" s="5" customFormat="1" ht="25.5" x14ac:dyDescent="0.2">
      <c r="B27" s="345" t="s">
        <v>85</v>
      </c>
      <c r="C27" s="331"/>
      <c r="D27" s="365"/>
      <c r="E27" s="319">
        <v>1129703.3910000001</v>
      </c>
      <c r="F27" s="319"/>
      <c r="G27" s="319"/>
      <c r="H27" s="319"/>
      <c r="I27" s="318">
        <v>861525</v>
      </c>
      <c r="J27" s="365"/>
      <c r="K27" s="319">
        <v>1144913.3661013024</v>
      </c>
      <c r="L27" s="319"/>
      <c r="M27" s="319"/>
      <c r="N27" s="319"/>
      <c r="O27" s="318"/>
      <c r="P27" s="365"/>
      <c r="Q27" s="319">
        <v>902018.49563608493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10972670</v>
      </c>
      <c r="E28" s="363"/>
      <c r="F28" s="363"/>
      <c r="G28" s="363"/>
      <c r="H28" s="363"/>
      <c r="I28" s="365"/>
      <c r="J28" s="318">
        <v>17792362</v>
      </c>
      <c r="K28" s="363"/>
      <c r="L28" s="363"/>
      <c r="M28" s="363"/>
      <c r="N28" s="363"/>
      <c r="O28" s="365"/>
      <c r="P28" s="318">
        <v>17901836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3113674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258145</v>
      </c>
      <c r="K30" s="362"/>
      <c r="L30" s="362"/>
      <c r="M30" s="362"/>
      <c r="N30" s="362"/>
      <c r="O30" s="364"/>
      <c r="P30" s="318">
        <v>4494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644165</v>
      </c>
      <c r="AU30" s="321">
        <v>0</v>
      </c>
      <c r="AV30" s="368"/>
      <c r="AW30" s="374"/>
    </row>
    <row r="31" spans="2:49" s="5" customFormat="1" ht="25.5" x14ac:dyDescent="0.2">
      <c r="B31" s="345" t="s">
        <v>84</v>
      </c>
      <c r="C31" s="331"/>
      <c r="D31" s="365"/>
      <c r="E31" s="319"/>
      <c r="F31" s="319"/>
      <c r="G31" s="319"/>
      <c r="H31" s="319"/>
      <c r="I31" s="318">
        <v>0</v>
      </c>
      <c r="J31" s="365"/>
      <c r="K31" s="319">
        <v>99439.15</v>
      </c>
      <c r="L31" s="319"/>
      <c r="M31" s="319"/>
      <c r="N31" s="319"/>
      <c r="O31" s="318"/>
      <c r="P31" s="365"/>
      <c r="Q31" s="319">
        <v>-5891.28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158493</v>
      </c>
      <c r="K32" s="363"/>
      <c r="L32" s="363"/>
      <c r="M32" s="363"/>
      <c r="N32" s="363"/>
      <c r="O32" s="365"/>
      <c r="P32" s="318">
        <v>10386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605974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1283959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3436</v>
      </c>
      <c r="AU34" s="321">
        <v>0</v>
      </c>
      <c r="AV34" s="368"/>
      <c r="AW34" s="374"/>
    </row>
    <row r="35" spans="2:49" s="5" customFormat="1" x14ac:dyDescent="0.2">
      <c r="B35" s="345" t="s">
        <v>91</v>
      </c>
      <c r="C35" s="331"/>
      <c r="D35" s="365"/>
      <c r="E35" s="319">
        <v>1283959.45</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13207241</v>
      </c>
      <c r="E36" s="319">
        <v>13207240.880000001</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-520037</v>
      </c>
      <c r="E38" s="362"/>
      <c r="F38" s="362"/>
      <c r="G38" s="362"/>
      <c r="H38" s="362"/>
      <c r="I38" s="364"/>
      <c r="J38" s="318">
        <v>211</v>
      </c>
      <c r="K38" s="362"/>
      <c r="L38" s="362"/>
      <c r="M38" s="362"/>
      <c r="N38" s="362"/>
      <c r="O38" s="364"/>
      <c r="P38" s="318">
        <v>1158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-3532716</v>
      </c>
      <c r="E41" s="362"/>
      <c r="F41" s="362"/>
      <c r="G41" s="362"/>
      <c r="H41" s="362"/>
      <c r="I41" s="364"/>
      <c r="J41" s="318">
        <v>0</v>
      </c>
      <c r="K41" s="362"/>
      <c r="L41" s="362"/>
      <c r="M41" s="362"/>
      <c r="N41" s="362"/>
      <c r="O41" s="364"/>
      <c r="P41" s="318">
        <v>422</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-5697893</v>
      </c>
      <c r="E43" s="363"/>
      <c r="F43" s="363"/>
      <c r="G43" s="363"/>
      <c r="H43" s="363"/>
      <c r="I43" s="365"/>
      <c r="J43" s="318">
        <v>28</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188875</v>
      </c>
      <c r="E49" s="319">
        <v>692005.60000000009</v>
      </c>
      <c r="F49" s="319"/>
      <c r="G49" s="319"/>
      <c r="H49" s="319"/>
      <c r="I49" s="318">
        <v>403068</v>
      </c>
      <c r="J49" s="318">
        <v>654211</v>
      </c>
      <c r="K49" s="319">
        <v>3265610.3367865556</v>
      </c>
      <c r="L49" s="319"/>
      <c r="M49" s="319"/>
      <c r="N49" s="319"/>
      <c r="O49" s="318"/>
      <c r="P49" s="318">
        <v>906370</v>
      </c>
      <c r="Q49" s="319">
        <v>2752349.2206020742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-8820</v>
      </c>
      <c r="AU49" s="321">
        <v>0</v>
      </c>
      <c r="AV49" s="368"/>
      <c r="AW49" s="374"/>
    </row>
    <row r="50" spans="2:49" x14ac:dyDescent="0.2">
      <c r="B50" s="343" t="s">
        <v>119</v>
      </c>
      <c r="C50" s="331" t="s">
        <v>34</v>
      </c>
      <c r="D50" s="318">
        <v>154148</v>
      </c>
      <c r="E50" s="363"/>
      <c r="F50" s="363"/>
      <c r="G50" s="363"/>
      <c r="H50" s="363"/>
      <c r="I50" s="365"/>
      <c r="J50" s="318">
        <v>785605</v>
      </c>
      <c r="K50" s="363"/>
      <c r="L50" s="363"/>
      <c r="M50" s="363"/>
      <c r="N50" s="363"/>
      <c r="O50" s="365"/>
      <c r="P50" s="318">
        <v>356370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7731</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-906304.26535956177</v>
      </c>
      <c r="L53" s="319"/>
      <c r="M53" s="319"/>
      <c r="N53" s="319"/>
      <c r="O53" s="318"/>
      <c r="P53" s="318">
        <v>0</v>
      </c>
      <c r="Q53" s="319">
        <v>1865948.0427635012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28472551</v>
      </c>
      <c r="E54" s="323">
        <f>E24+E27+E31+E35-E36+E39+E42+E45+E46-E49+E51+E52+E53</f>
        <v>25580582.550999999</v>
      </c>
      <c r="F54" s="323">
        <f>F24+F27+F31+F35-F36+F39+F42+F45+F46-F49+F51+F52+F53</f>
        <v>0</v>
      </c>
      <c r="G54" s="323">
        <f>G24+G27+G31+G35-G36+G39+G42+G45+G46-G49+G51+G52+G53</f>
        <v>0</v>
      </c>
      <c r="H54" s="323">
        <f>H24+H27+H31+H35-H36+H39+H42+H45+H46-H49+H51+H52+H53</f>
        <v>0</v>
      </c>
      <c r="I54" s="322">
        <f>I24+I27+I31+I35-I36+I39+I42+I45+I46-I49+I51+I52+I53</f>
        <v>23170696</v>
      </c>
      <c r="J54" s="322">
        <f>J23+J26-J28+J30-J32+J34-J36+J38+J41-J43+J45+J46-J47-J49+J50+J51+J52+J53</f>
        <v>131409831</v>
      </c>
      <c r="K54" s="323">
        <f>K24+K27+K31+K35-K36+K39+K42+K45+K46-K49+K51+K52+K53</f>
        <v>131272620.09395519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111473021</v>
      </c>
      <c r="Q54" s="323">
        <f>Q24+Q27+Q31+Q35-Q36+Q39+Q42+Q45+Q46-Q49+Q51+Q52+Q53</f>
        <v>117220789.57779752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15552373</v>
      </c>
      <c r="AU54" s="324">
        <f>AU23+AU26-AU28+AU30-AU32+AU34-AU36+AU38+AU41-AU43+AU45+AU46-AU47-AU49+AU50+AU51+AU52+AU53</f>
        <v>0</v>
      </c>
      <c r="AV54" s="368"/>
      <c r="AW54" s="374"/>
    </row>
    <row r="55" spans="2:49" ht="25.5" x14ac:dyDescent="0.2">
      <c r="B55" s="348" t="s">
        <v>493</v>
      </c>
      <c r="C55" s="335" t="s">
        <v>28</v>
      </c>
      <c r="D55" s="322">
        <f t="shared" ref="D55:AC55" si="0">MIN(MAX(0,D56),MAX(0,D57))</f>
        <v>38925.160000000003</v>
      </c>
      <c r="E55" s="323">
        <f t="shared" si="0"/>
        <v>38925.160000000003</v>
      </c>
      <c r="F55" s="323">
        <f t="shared" si="0"/>
        <v>0</v>
      </c>
      <c r="G55" s="323">
        <f t="shared" si="0"/>
        <v>0</v>
      </c>
      <c r="H55" s="323">
        <f t="shared" si="0"/>
        <v>0</v>
      </c>
      <c r="I55" s="322">
        <f t="shared" si="0"/>
        <v>15085</v>
      </c>
      <c r="J55" s="322">
        <f t="shared" si="0"/>
        <v>225082.01</v>
      </c>
      <c r="K55" s="323">
        <f t="shared" si="0"/>
        <v>218386.98041590766</v>
      </c>
      <c r="L55" s="323">
        <f t="shared" si="0"/>
        <v>0</v>
      </c>
      <c r="M55" s="323">
        <f t="shared" si="0"/>
        <v>0</v>
      </c>
      <c r="N55" s="323">
        <f t="shared" si="0"/>
        <v>0</v>
      </c>
      <c r="O55" s="322">
        <f t="shared" si="0"/>
        <v>0</v>
      </c>
      <c r="P55" s="322">
        <f t="shared" si="0"/>
        <v>171916.91</v>
      </c>
      <c r="Q55" s="323">
        <f t="shared" si="0"/>
        <v>178006.25958409233</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38925.160000000003</v>
      </c>
      <c r="E56" s="319">
        <v>38925.160000000003</v>
      </c>
      <c r="F56" s="319"/>
      <c r="G56" s="319"/>
      <c r="H56" s="319"/>
      <c r="I56" s="318">
        <v>15085</v>
      </c>
      <c r="J56" s="318">
        <v>225082.01</v>
      </c>
      <c r="K56" s="319">
        <v>218386.98041590766</v>
      </c>
      <c r="L56" s="319"/>
      <c r="M56" s="319"/>
      <c r="N56" s="319"/>
      <c r="O56" s="318"/>
      <c r="P56" s="318">
        <v>171916.91</v>
      </c>
      <c r="Q56" s="319">
        <v>178006.25958409233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194933</v>
      </c>
      <c r="E57" s="319">
        <v>194933.04</v>
      </c>
      <c r="F57" s="319"/>
      <c r="G57" s="319"/>
      <c r="H57" s="319"/>
      <c r="I57" s="318">
        <v>40670</v>
      </c>
      <c r="J57" s="318">
        <v>652674</v>
      </c>
      <c r="K57" s="319">
        <v>652674.16</v>
      </c>
      <c r="L57" s="319"/>
      <c r="M57" s="319"/>
      <c r="N57" s="319"/>
      <c r="O57" s="318"/>
      <c r="P57" s="318">
        <v>887090</v>
      </c>
      <c r="Q57" s="319">
        <v>885754.05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198140</v>
      </c>
      <c r="AU57" s="321">
        <v>0</v>
      </c>
      <c r="AV57" s="321">
        <v>0</v>
      </c>
      <c r="AW57" s="374"/>
    </row>
    <row r="58" spans="2:49" s="5" customFormat="1" x14ac:dyDescent="0.2">
      <c r="B58" s="351" t="s">
        <v>494</v>
      </c>
      <c r="C58" s="352"/>
      <c r="D58" s="353"/>
      <c r="E58" s="354">
        <v>301071</v>
      </c>
      <c r="F58" s="354"/>
      <c r="G58" s="354"/>
      <c r="H58" s="354"/>
      <c r="I58" s="353">
        <v>409713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E10" activePane="bottomRight" state="frozen"/>
      <selection activeCell="B1" sqref="B1"/>
      <selection pane="topRight" activeCell="B1" sqref="B1"/>
      <selection pane="bottomLeft" activeCell="B1" sqref="B1"/>
      <selection pane="bottomRight" activeCell="G33" sqref="G3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68877960.920000002</v>
      </c>
      <c r="D5" s="403">
        <v>84153910.379999995</v>
      </c>
      <c r="E5" s="454"/>
      <c r="F5" s="454"/>
      <c r="G5" s="448"/>
      <c r="H5" s="402">
        <v>225705264.59999999</v>
      </c>
      <c r="I5" s="403">
        <v>193492383.47999999</v>
      </c>
      <c r="J5" s="454"/>
      <c r="K5" s="454"/>
      <c r="L5" s="448"/>
      <c r="M5" s="402">
        <v>154742167.40000001</v>
      </c>
      <c r="N5" s="403">
        <v>139600305.74000001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68895738.126000002</v>
      </c>
      <c r="D6" s="398">
        <v>82952762.413000003</v>
      </c>
      <c r="E6" s="400">
        <f>SUM('Pt 1 Summary of Data'!E$12,'Pt 1 Summary of Data'!E$22)+SUM('Pt 1 Summary of Data'!G$12,'Pt 1 Summary of Data'!G$22)-SUM('Pt 1 Summary of Data'!H$12,'Pt 1 Summary of Data'!H$22)</f>
        <v>25619507.710999999</v>
      </c>
      <c r="F6" s="400">
        <f t="shared" ref="F6:F11" si="0">SUM(C6:E6)</f>
        <v>177468008.25</v>
      </c>
      <c r="G6" s="401">
        <f>SUM('Pt 1 Summary of Data'!I$12,'Pt 1 Summary of Data'!I$22)</f>
        <v>23185781</v>
      </c>
      <c r="H6" s="397">
        <v>225339075.68974197</v>
      </c>
      <c r="I6" s="398">
        <v>190916275.06501287</v>
      </c>
      <c r="J6" s="400">
        <f>SUM('Pt 1 Summary of Data'!K$12,'Pt 1 Summary of Data'!K$22)+SUM('Pt 1 Summary of Data'!M$12,'Pt 1 Summary of Data'!M$22)-SUM('Pt 1 Summary of Data'!N$12,'Pt 1 Summary of Data'!N$22)</f>
        <v>131491007.0743711</v>
      </c>
      <c r="K6" s="400">
        <f>SUM(H6:J6)</f>
        <v>547746357.82912588</v>
      </c>
      <c r="L6" s="401">
        <f>SUM('Pt 1 Summary of Data'!O$12,'Pt 1 Summary of Data'!O$22)</f>
        <v>0</v>
      </c>
      <c r="M6" s="397">
        <v>155467894.10717773</v>
      </c>
      <c r="N6" s="398">
        <v>139571924.56123638</v>
      </c>
      <c r="O6" s="400">
        <f>SUM('Pt 1 Summary of Data'!Q$12,'Pt 1 Summary of Data'!Q$22)+SUM('Pt 1 Summary of Data'!S$12,'Pt 1 Summary of Data'!S$22)-SUM('Pt 1 Summary of Data'!T$12,'Pt 1 Summary of Data'!T$22)</f>
        <v>117398795.83738162</v>
      </c>
      <c r="P6" s="400">
        <f>SUM(M6:O6)</f>
        <v>412438614.50579572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1747340.29</v>
      </c>
      <c r="D7" s="398">
        <v>1149690.3700000001</v>
      </c>
      <c r="E7" s="400">
        <f>SUM('Pt 1 Summary of Data'!E$37:E$41)+SUM('Pt 1 Summary of Data'!G$37:G$41)-SUM('Pt 1 Summary of Data'!H$37:H$41)+MAX(0,MIN('Pt 1 Summary of Data'!E$42+'Pt 1 Summary of Data'!G$42-'Pt 1 Summary of Data'!H$42,0.3%*('Pt 1 Summary of Data'!E$5+'Pt 1 Summary of Data'!G$5-'Pt 1 Summary of Data'!H$5-SUM(E$9:E$11))))</f>
        <v>470377.09</v>
      </c>
      <c r="F7" s="400">
        <f t="shared" si="0"/>
        <v>3367407.75</v>
      </c>
      <c r="G7" s="401">
        <f>SUM('Pt 1 Summary of Data'!I$37:I$41)+MAX(0,MIN(VALUE('Pt 1 Summary of Data'!I$42),0.3%*('Pt 1 Summary of Data'!I$5-SUM(G$9:G$10))))</f>
        <v>163866</v>
      </c>
      <c r="H7" s="397">
        <v>5338473.53</v>
      </c>
      <c r="I7" s="398">
        <v>4001456.72</v>
      </c>
      <c r="J7" s="400">
        <f>SUM('Pt 1 Summary of Data'!K$37:K$41)+SUM('Pt 1 Summary of Data'!M$37:M$41)-SUM('Pt 1 Summary of Data'!N$37:N$41)+MAX(0,MIN('Pt 1 Summary of Data'!K$42+'Pt 1 Summary of Data'!M$42-'Pt 1 Summary of Data'!N$42,0.3%*('Pt 1 Summary of Data'!K$5+'Pt 1 Summary of Data'!M$5-'Pt 1 Summary of Data'!N$5-SUM(J$10:J$11))))</f>
        <v>2086944.6688515623</v>
      </c>
      <c r="K7" s="400">
        <f>SUM(H7:J7)</f>
        <v>11426874.918851562</v>
      </c>
      <c r="L7" s="401">
        <f>SUM('Pt 1 Summary of Data'!O$37:O$41)+MAX(0,MIN(VALUE('Pt 1 Summary of Data'!O$42),0.3%*('Pt 1 Summary of Data'!O$5-L$10)))</f>
        <v>0</v>
      </c>
      <c r="M7" s="397">
        <v>3423516.42</v>
      </c>
      <c r="N7" s="398">
        <v>2663077.65</v>
      </c>
      <c r="O7" s="400">
        <f>SUM('Pt 1 Summary of Data'!Q$37:Q$41)+SUM('Pt 1 Summary of Data'!S$37:S$41)-SUM('Pt 1 Summary of Data'!T$37:T$41)+MAX(0,MIN('Pt 1 Summary of Data'!Q$42+'Pt 1 Summary of Data'!S$42-'Pt 1 Summary of Data'!T$42,0.3%*('Pt 1 Summary of Data'!Q$5+'Pt 1 Summary of Data'!S$5-'Pt 1 Summary of Data'!T$5)))</f>
        <v>2223092.8711484382</v>
      </c>
      <c r="P7" s="400">
        <f>SUM(M7:O7)</f>
        <v>8309686.9411484385</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382087.89</v>
      </c>
      <c r="E8" s="400">
        <f>'Pt 2 Premium and Claims'!E58+'Pt 2 Premium and Claims'!G58-'Pt 2 Premium and Claims'!H58</f>
        <v>301071</v>
      </c>
      <c r="F8" s="400">
        <f t="shared" si="0"/>
        <v>683158.89</v>
      </c>
      <c r="G8" s="401">
        <f>'Pt 2 Premium and Claims'!I58</f>
        <v>409713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8206407.6100000003</v>
      </c>
      <c r="E9" s="400">
        <f>'Pt 2 Premium and Claims'!E$15+'Pt 2 Premium and Claims'!G$15-'Pt 2 Premium and Claims'!H$15</f>
        <v>3776222.99</v>
      </c>
      <c r="F9" s="400">
        <f t="shared" si="0"/>
        <v>11982630.600000001</v>
      </c>
      <c r="G9" s="401">
        <f>'Pt 2 Premium and Claims'!I$15</f>
        <v>3776223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8268175.79</v>
      </c>
      <c r="E10" s="400">
        <f>'Pt 2 Premium and Claims'!E$16+'Pt 2 Premium and Claims'!G$16-'Pt 2 Premium and Claims'!H$16</f>
        <v>3410160</v>
      </c>
      <c r="F10" s="400">
        <f t="shared" si="0"/>
        <v>11678335.789999999</v>
      </c>
      <c r="G10" s="401">
        <f>'Pt 2 Premium and Claims'!I$16</f>
        <v>3410160</v>
      </c>
      <c r="H10" s="443"/>
      <c r="I10" s="398">
        <v>4255065.5199999996</v>
      </c>
      <c r="J10" s="400">
        <f>'Pt 2 Premium and Claims'!K$16+'Pt 2 Premium and Claims'!M$16-'Pt 2 Premium and Claims'!N$16</f>
        <v>1343082.51</v>
      </c>
      <c r="K10" s="400">
        <f>SUM(H10:J10)</f>
        <v>5598148.0299999993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583046.22259999998</v>
      </c>
      <c r="E11" s="400">
        <f>'Pt 2 Premium and Claims'!E$17+'Pt 2 Premium and Claims'!G$17-'Pt 2 Premium and Claims'!H$17</f>
        <v>0</v>
      </c>
      <c r="F11" s="400">
        <f t="shared" si="0"/>
        <v>583046.22259999998</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70643078.416000009</v>
      </c>
      <c r="D12" s="400">
        <f>SUM(D$6:D$7) - SUM(D$8:D$11)+IF(AND(OR('Company Information'!$C$12="District of Columbia",'Company Information'!$C$12="Massachusetts",'Company Information'!$C$12="Vermont"),SUM($C$6:$F$11,$C$15:$F$16,$C$38:$D$38)&lt;&gt;0),SUM(I$6:I$7) - SUM(I$10:I$11),0)</f>
        <v>66662735.27040001</v>
      </c>
      <c r="E12" s="400">
        <f>SUM(E$6:E$7)-SUM(E$8:E$11)+IF(AND(OR('Company Information'!$C$12="District of Columbia",'Company Information'!$C$12="Massachusetts",'Company Information'!$C$12="Vermont"),SUM($C$6:$F$11,$C$15:$F$16,$C$38:$D$38)&lt;&gt;0),SUM(J$6:J$7)-SUM(J$10:J$11),0)</f>
        <v>18602430.810999997</v>
      </c>
      <c r="F12" s="400">
        <f>IFERROR(SUM(C$12:E$12)+C$17*MAX(0,E$50-C$50)+D$17*MAX(0,E$50-D$50),0)</f>
        <v>155908244.49740002</v>
      </c>
      <c r="G12" s="447"/>
      <c r="H12" s="399">
        <f>SUM(H$6:H$7)+IF(AND(OR('Company Information'!$C$12="District of Columbia",'Company Information'!$C$12="Massachusetts",'Company Information'!$C$12="Vermont"),SUM($H$6:$K$11,$H$15:$K$16,$H$38:$I$38)&lt;&gt;0),SUM(C$6:C$7),0)</f>
        <v>230677549.21974197</v>
      </c>
      <c r="I12" s="400">
        <f>SUM(I$6:I$7) - SUM(I$10:I$11)+IF(AND(OR('Company Information'!$C$12="District of Columbia",'Company Information'!$C$12="Massachusetts",'Company Information'!$C$12="Vermont"),SUM($H$6:$K$11,$H$15:$K$16,$H$38:$I$38)&lt;&gt;0),SUM(D$6:D$7) - SUM(D$8:D$11),0)</f>
        <v>190662666.26501286</v>
      </c>
      <c r="J12" s="400">
        <f>SUM(J$6:J$7)-SUM(J$10:J$11)+IF(AND(OR('Company Information'!$C$12="District of Columbia",'Company Information'!$C$12="Massachusetts",'Company Information'!$C$12="Vermont"),SUM($H$6:$K$11,$H$15:$K$16,$H$38:$I$38)&lt;&gt;0),SUM(E$6:E$7)-SUM(E$8:E$11),0)</f>
        <v>132234869.23322266</v>
      </c>
      <c r="K12" s="400">
        <f>IFERROR(SUM(H$12:J$12)+H$17*MAX(0,J$50-H$50)+I$17*MAX(0,J$50-I$50),0)</f>
        <v>553575084.71797752</v>
      </c>
      <c r="L12" s="447"/>
      <c r="M12" s="399">
        <f>SUM(M$6:M$7)</f>
        <v>158891410.52717772</v>
      </c>
      <c r="N12" s="400">
        <f>SUM(N$6:N$7)</f>
        <v>142235002.21123639</v>
      </c>
      <c r="O12" s="400">
        <f>SUM(O$6:O$7)</f>
        <v>119621888.70853005</v>
      </c>
      <c r="P12" s="400">
        <f>SUM(M$12:O$12)+M$17*MAX(0,O$50-M$50)+N$17*MAX(0,O$50-N$50)</f>
        <v>420748301.44694418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86777773.329999998</v>
      </c>
      <c r="D15" s="403">
        <v>81787969.420000002</v>
      </c>
      <c r="E15" s="395">
        <f>SUM('Pt 1 Summary of Data'!E$5:E$7)+SUM('Pt 1 Summary of Data'!G$5:G$7)-SUM('Pt 1 Summary of Data'!H$5:H$7)-SUM(E$9:E$11)</f>
        <v>30769477.648042001</v>
      </c>
      <c r="F15" s="395">
        <f>SUM(C15:E15)</f>
        <v>199335220.39804199</v>
      </c>
      <c r="G15" s="396">
        <f>SUM('Pt 1 Summary of Data'!I$5:I$7)-SUM(G$9:G$10)</f>
        <v>12183177</v>
      </c>
      <c r="H15" s="402">
        <v>279150846.69999999</v>
      </c>
      <c r="I15" s="403">
        <v>237082946.86000001</v>
      </c>
      <c r="J15" s="395">
        <f>SUM('Pt 1 Summary of Data'!K$5:K$7)+SUM('Pt 1 Summary of Data'!M$5:M$7)-SUM('Pt 1 Summary of Data'!N$5:N$7)-SUM(J$10:J$11)</f>
        <v>174967317.87523222</v>
      </c>
      <c r="K15" s="395">
        <f>SUM(H15:J15)</f>
        <v>691201111.43523216</v>
      </c>
      <c r="L15" s="396">
        <f>SUM('Pt 1 Summary of Data'!O$5:O$7)-L$10</f>
        <v>0</v>
      </c>
      <c r="M15" s="402">
        <v>169250285.41</v>
      </c>
      <c r="N15" s="403">
        <v>155927307.69</v>
      </c>
      <c r="O15" s="395">
        <f>SUM('Pt 1 Summary of Data'!Q$5:Q$7)+SUM('Pt 1 Summary of Data'!S$5:S$7)-SUM('Pt 1 Summary of Data'!T$5:T$7)+N$56</f>
        <v>134338072.6760692</v>
      </c>
      <c r="P15" s="395">
        <f>SUM(M15:O15)</f>
        <v>459515665.77606922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1396712.04</v>
      </c>
      <c r="D16" s="398">
        <v>3074220.28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2083164.5070918878</v>
      </c>
      <c r="F16" s="400">
        <f>SUM(C16:E16)</f>
        <v>6554096.8270918876</v>
      </c>
      <c r="G16" s="401">
        <f>SUM('Pt 1 Summary of Data'!I$25:I$28,'Pt 1 Summary of Data'!I$30,'Pt 1 Summary of Data'!I$34:I$35)+IF('Company Information'!$C$15="No",IF(MAX('Pt 1 Summary of Data'!I$31:I$32)=0,MIN('Pt 1 Summary of Data'!I$31:I$32),MAX('Pt 1 Summary of Data'!I$31:I$32)),SUM('Pt 1 Summary of Data'!I$31:I$32))</f>
        <v>870423</v>
      </c>
      <c r="H16" s="397">
        <v>5233216.1399999997</v>
      </c>
      <c r="I16" s="398">
        <v>9399009.1099999994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17016951.561871834</v>
      </c>
      <c r="K16" s="400">
        <f>SUM(H16:J16)</f>
        <v>31649176.811871834</v>
      </c>
      <c r="L16" s="401">
        <f>SUM('Pt 1 Summary of Data'!O$25:O$28,'Pt 1 Summary of Data'!O$30,'Pt 1 Summary of Data'!O$34:O$35)+IF('Company Information'!$C$15="No",IF(MAX('Pt 1 Summary of Data'!O$31:O$32)=0,MIN('Pt 1 Summary of Data'!O$31:O$32),MAX('Pt 1 Summary of Data'!O$31:O$32)),SUM('Pt 1 Summary of Data'!O$31:O$32))</f>
        <v>0</v>
      </c>
      <c r="M16" s="397">
        <v>-4416548.49</v>
      </c>
      <c r="N16" s="398">
        <v>200711.19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3066352.5535085052</v>
      </c>
      <c r="P16" s="400">
        <f>SUM(M16:O16)</f>
        <v>-1149484.7464914946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85381061.289999992</v>
      </c>
      <c r="D17" s="400">
        <f>D$15-D$16+IF(AND(OR('Company Information'!$C$12="District of Columbia",'Company Information'!$C$12="Massachusetts",'Company Information'!$C$12="Vermont"),SUM($C$6:$F$11,$C$15:$F$16,$C$38:$D$38)&lt;&gt;0),I$15-I$16,0)</f>
        <v>78713749.140000001</v>
      </c>
      <c r="E17" s="400">
        <f>E$15-E$16+IF(AND(OR('Company Information'!$C$12="District of Columbia",'Company Information'!$C$12="Massachusetts",'Company Information'!$C$12="Vermont"),SUM($C$6:$F$11,$C$15:$F$16,$C$38:$D$38)&lt;&gt;0),J$15-J$16,0)</f>
        <v>28686313.140950114</v>
      </c>
      <c r="F17" s="400">
        <f>F$15-F$16+IF(AND(OR('Company Information'!$C$12="District of Columbia",'Company Information'!$C$12="Massachusetts",'Company Information'!$C$12="Vermont"),SUM($C$6:$F$11,$C$15:$F$16,$C$38:$D$38)&lt;&gt;0),K$15-K$16,0)</f>
        <v>192781123.57095009</v>
      </c>
      <c r="G17" s="450"/>
      <c r="H17" s="399">
        <f>H$15-H$16+IF(AND(OR('Company Information'!$C$12="District of Columbia",'Company Information'!$C$12="Massachusetts",'Company Information'!$C$12="Vermont"),SUM($H$6:$K$11,$H$15:$K$16,$H$38:$I$38)&lt;&gt;0),C$15-C$16,0)</f>
        <v>273917630.56</v>
      </c>
      <c r="I17" s="400">
        <f>I$15-I$16+IF(AND(OR('Company Information'!$C$12="District of Columbia",'Company Information'!$C$12="Massachusetts",'Company Information'!$C$12="Vermont"),SUM($H$6:$K$11,$H$15:$K$16,$H$38:$I$38)&lt;&gt;0),D$15-D$16,0)</f>
        <v>227683937.75</v>
      </c>
      <c r="J17" s="400">
        <f>J$15-J$16+IF(AND(OR('Company Information'!$C$12="District of Columbia",'Company Information'!$C$12="Massachusetts",'Company Information'!$C$12="Vermont"),SUM($H$6:$K$11,$H$15:$K$16,$H$38:$I$38)&lt;&gt;0),E$15-E$16,0)</f>
        <v>157950366.31336039</v>
      </c>
      <c r="K17" s="400">
        <f>K$15-K$16+IF(AND(OR('Company Information'!$C$12="District of Columbia",'Company Information'!$C$12="Massachusetts",'Company Information'!$C$12="Vermont"),SUM($H$6:$K$11,$H$15:$K$16,$H$38:$I$38)&lt;&gt;0),F$15-F$16,0)</f>
        <v>659551934.62336028</v>
      </c>
      <c r="L17" s="450"/>
      <c r="M17" s="399">
        <f>M$15-M$16</f>
        <v>173666833.90000001</v>
      </c>
      <c r="N17" s="400">
        <f>N$15-N$16</f>
        <v>155726596.5</v>
      </c>
      <c r="O17" s="400">
        <f>O$15-O$16</f>
        <v>131271720.12256069</v>
      </c>
      <c r="P17" s="400">
        <f>P$15-P$16</f>
        <v>460665150.52256072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14855614</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1311205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565637.70000000007</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-4854065</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565637.70000000007</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339382.62</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2747265.7</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2747265.7</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3359228.88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9435911.3000000007</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2521010.62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339382.62</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2521010.62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3132973.8000000003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9662166.379999999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1.537503435125074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3777933.6071800012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2998618.6413166285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35406</v>
      </c>
      <c r="D38" s="405">
        <v>28155.25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7183.166666666667</v>
      </c>
      <c r="F38" s="432">
        <f>SUM(C$38:E$38)+IF(AND(OR('Company Information'!$C$12="District of Columbia",'Company Information'!$C$12="Massachusetts",'Company Information'!$C$12="Vermont"),SUM($C$6:$F$11,$C$15:$F$16,$C$38:$D$38)&lt;&gt;0,SUM(C$38:D$38)&lt;&gt;SUM(H$38:I$38)),SUM(H$38:I$38),0)</f>
        <v>70744.416666666672</v>
      </c>
      <c r="G38" s="448"/>
      <c r="H38" s="404">
        <v>61275</v>
      </c>
      <c r="I38" s="405">
        <v>49231.33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33122.833333333336</v>
      </c>
      <c r="K38" s="432">
        <f>SUM(H$38:J$38)+IF(AND(OR('Company Information'!$C$12="District of Columbia",'Company Information'!$C$12="Massachusetts",'Company Information'!$C$12="Vermont"),SUM($H$6:$K$11,$H$15:$K$16,$H$38:$I$38)&lt;&gt;0,SUM(H$38:I$38)&lt;&gt;SUM(C$38:D$38)),SUM(C$38:D$38),0)</f>
        <v>143629.16333333333</v>
      </c>
      <c r="L38" s="448"/>
      <c r="M38" s="404">
        <v>38480</v>
      </c>
      <c r="N38" s="405">
        <v>33319.08</v>
      </c>
      <c r="O38" s="432">
        <f>('Pt 1 Summary of Data'!Q$59+'Pt 1 Summary of Data'!S$59-'Pt 1 Summary of Data'!T$59)/12</f>
        <v>26589.5</v>
      </c>
      <c r="P38" s="432">
        <f>SUM(M$38:O$38)</f>
        <v>98388.58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2.0426799999999981E-3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8058</v>
      </c>
      <c r="G40" s="447"/>
      <c r="H40" s="443"/>
      <c r="I40" s="441"/>
      <c r="J40" s="441"/>
      <c r="K40" s="398">
        <v>2515</v>
      </c>
      <c r="L40" s="447"/>
      <c r="M40" s="443"/>
      <c r="N40" s="441"/>
      <c r="O40" s="441"/>
      <c r="P40" s="398">
        <v>2269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1.6062744</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1.1654279999999999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3.281104591391997E-3</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0.82738580838270603</v>
      </c>
      <c r="D45" s="436">
        <f>IF(OR(D$38&lt;1000,D$17&lt;=0),"",D$12/D$17)</f>
        <v>0.8469007765318598</v>
      </c>
      <c r="E45" s="436">
        <f>IF(OR(E$38&lt;1000,E$17&lt;=0),"",E$12/E$17)</f>
        <v>0.6484775760341529</v>
      </c>
      <c r="F45" s="436">
        <f>IF(OR(F$38&lt;1000,F$17&lt;=0),"",F$12/F$17)</f>
        <v>0.80873190076631341</v>
      </c>
      <c r="G45" s="447"/>
      <c r="H45" s="438">
        <f>IF(OR(H$38&lt;1000,H$17&lt;=0),"",H$12/H$17)</f>
        <v>0.84214202914993985</v>
      </c>
      <c r="I45" s="436">
        <f>IF(OR(I$38&lt;1000,I$17&lt;=0),"",I$12/I$17)</f>
        <v>0.83740060080286827</v>
      </c>
      <c r="J45" s="436">
        <f>IF(OR(J$38&lt;1000,J$17&lt;=0),"",J$12/J$17)</f>
        <v>0.83719254547899991</v>
      </c>
      <c r="K45" s="436">
        <f>IF(OR(K$38&lt;1000,K$17&lt;=0),"",K$12/K$17)</f>
        <v>0.83931993169590013</v>
      </c>
      <c r="L45" s="447"/>
      <c r="M45" s="438">
        <f>IF(OR(M$38&lt;1000,M$17&lt;=0),"",M$12/M$17)</f>
        <v>0.91492086864824063</v>
      </c>
      <c r="N45" s="436">
        <f>IF(OR(N$38&lt;1000,N$17&lt;=0),"",N$12/N$17)</f>
        <v>0.91336358340841528</v>
      </c>
      <c r="O45" s="436">
        <f>IF(OR(O$38&lt;1000,O$17&lt;=0),"",O$12/O$17)</f>
        <v>0.9112540659697772</v>
      </c>
      <c r="P45" s="436">
        <f>IF(OR(P$38&lt;1000,P$17&lt;=0),"",P$12/P$17)</f>
        <v>0.91334953592574475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3.281104591391997E-3</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0.81200000000000006</v>
      </c>
      <c r="G48" s="447"/>
      <c r="H48" s="443"/>
      <c r="I48" s="441"/>
      <c r="J48" s="441"/>
      <c r="K48" s="436">
        <f>IF(K$45="","",ROUND(K$45+MAX(0,K$47),3))</f>
        <v>0.83899999999999997</v>
      </c>
      <c r="L48" s="447"/>
      <c r="M48" s="443"/>
      <c r="N48" s="441"/>
      <c r="O48" s="441"/>
      <c r="P48" s="436">
        <f>IF(P$45="","",ROUND(P$45+MAX(0,P$47),3))</f>
        <v>0.91300000000000003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0.81200000000000006</v>
      </c>
      <c r="G51" s="447"/>
      <c r="H51" s="444"/>
      <c r="I51" s="442"/>
      <c r="J51" s="442"/>
      <c r="K51" s="436">
        <f>K$48</f>
        <v>0.83899999999999997</v>
      </c>
      <c r="L51" s="447"/>
      <c r="M51" s="444"/>
      <c r="N51" s="442"/>
      <c r="O51" s="442"/>
      <c r="P51" s="436">
        <f>P$48</f>
        <v>0.91300000000000003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28686313.140950114</v>
      </c>
      <c r="G52" s="447"/>
      <c r="H52" s="443"/>
      <c r="I52" s="441"/>
      <c r="J52" s="441"/>
      <c r="K52" s="400">
        <f>IF(K$38&lt;1000,"",MAX(0,J$15-J$16))</f>
        <v>157950366.31336039</v>
      </c>
      <c r="L52" s="447"/>
      <c r="M52" s="443"/>
      <c r="N52" s="441"/>
      <c r="O52" s="441"/>
      <c r="P52" s="400">
        <f>IF(P$38&lt;1000,"",MAX(0,O$15-O$16))</f>
        <v>131271720.12256069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465761.00309999997</v>
      </c>
      <c r="D56" s="441"/>
      <c r="E56" s="441"/>
      <c r="F56" s="441"/>
      <c r="G56" s="447"/>
      <c r="H56" s="397">
        <v>1093375.885094</v>
      </c>
      <c r="I56" s="441"/>
      <c r="J56" s="441"/>
      <c r="K56" s="441"/>
      <c r="L56" s="447"/>
      <c r="M56" s="397">
        <v>738573.47880000004</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7451.9562669999996</v>
      </c>
      <c r="D57" s="441"/>
      <c r="E57" s="441"/>
      <c r="F57" s="441"/>
      <c r="G57" s="447"/>
      <c r="H57" s="397">
        <v>20364.857899999999</v>
      </c>
      <c r="I57" s="441"/>
      <c r="J57" s="441"/>
      <c r="K57" s="441"/>
      <c r="L57" s="447"/>
      <c r="M57" s="397">
        <v>-19141.773300000001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-897937</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34560230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33662293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28" yWindow="70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3883</v>
      </c>
      <c r="D4" s="104">
        <f>'Pt 1 Summary of Data'!$K$56+'Pt 1 Summary of Data'!$M$56-'Pt 1 Summary of Data'!$N$56</f>
        <v>16781</v>
      </c>
      <c r="E4" s="104">
        <f>'Pt 1 Summary of Data'!$Q$56+'Pt 1 Summary of Data'!$S$56-'Pt 1 Summary of Data'!$T$56</f>
        <v>14222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2016-09-06T19:50:57Z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