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128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P39" i="10" s="1"/>
  <c r="N45" i="10"/>
  <c r="M45" i="10"/>
  <c r="AB42" i="10"/>
  <c r="X42" i="10"/>
  <c r="T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A55" i="18"/>
  <c r="Z55" i="18"/>
  <c r="Z22" i="4" s="1"/>
  <c r="Y55" i="18"/>
  <c r="X55" i="18"/>
  <c r="W55" i="18"/>
  <c r="W22" i="4" s="1"/>
  <c r="V55" i="18"/>
  <c r="U55" i="18"/>
  <c r="T55" i="18"/>
  <c r="S55" i="18"/>
  <c r="R55" i="18"/>
  <c r="Q55" i="18"/>
  <c r="P55" i="18"/>
  <c r="O55" i="18"/>
  <c r="N55" i="18"/>
  <c r="M55" i="18"/>
  <c r="L55" i="18"/>
  <c r="K55" i="18"/>
  <c r="J55" i="18"/>
  <c r="I55" i="18"/>
  <c r="H55" i="18"/>
  <c r="G55" i="18"/>
  <c r="F55" i="18"/>
  <c r="F22" i="4" s="1"/>
  <c r="E55" i="18"/>
  <c r="D55" i="18"/>
  <c r="D22" i="4" s="1"/>
  <c r="AU54" i="18"/>
  <c r="AT54" i="18"/>
  <c r="AT12" i="4" s="1"/>
  <c r="AS54" i="18"/>
  <c r="AS12" i="4" s="1"/>
  <c r="AC54" i="18"/>
  <c r="AB54" i="18"/>
  <c r="AA54" i="18"/>
  <c r="Z54" i="18"/>
  <c r="Y54" i="18"/>
  <c r="Y12" i="4" s="1"/>
  <c r="X54" i="18"/>
  <c r="X12" i="4" s="1"/>
  <c r="W54" i="18"/>
  <c r="W12" i="4" s="1"/>
  <c r="V54" i="18"/>
  <c r="V12" i="4" s="1"/>
  <c r="U54" i="18"/>
  <c r="U12" i="4" s="1"/>
  <c r="T54" i="18"/>
  <c r="S54" i="18"/>
  <c r="S12" i="4" s="1"/>
  <c r="R54" i="18"/>
  <c r="R12" i="4" s="1"/>
  <c r="Q54" i="18"/>
  <c r="Q12" i="4" s="1"/>
  <c r="P54" i="18"/>
  <c r="O54" i="18"/>
  <c r="N54" i="18"/>
  <c r="M54" i="18"/>
  <c r="L54" i="18"/>
  <c r="K54" i="18"/>
  <c r="J54" i="18"/>
  <c r="I54" i="18"/>
  <c r="H54" i="18"/>
  <c r="H12" i="4" s="1"/>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AA22" i="4"/>
  <c r="Y22" i="4"/>
  <c r="X22" i="4"/>
  <c r="V22" i="4"/>
  <c r="U22" i="4"/>
  <c r="T22" i="4"/>
  <c r="S22" i="4"/>
  <c r="R22" i="4"/>
  <c r="Q22" i="4"/>
  <c r="P22" i="4"/>
  <c r="O22" i="4"/>
  <c r="N22" i="4"/>
  <c r="M22" i="4"/>
  <c r="L22" i="4"/>
  <c r="K22" i="4"/>
  <c r="J22" i="4"/>
  <c r="I22" i="4"/>
  <c r="H22" i="4"/>
  <c r="G22" i="4"/>
  <c r="E22" i="4"/>
  <c r="AU12" i="4"/>
  <c r="AC12" i="4"/>
  <c r="AB12" i="4"/>
  <c r="AA12" i="4"/>
  <c r="Z12" i="4"/>
  <c r="T12" i="4"/>
  <c r="P12" i="4"/>
  <c r="O12" i="4"/>
  <c r="N12" i="4"/>
  <c r="M12" i="4"/>
  <c r="L12" i="4"/>
  <c r="K12" i="4"/>
  <c r="J12" i="4"/>
  <c r="I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G15" i="10" l="1"/>
  <c r="G32" i="10" s="1"/>
  <c r="E7" i="10"/>
  <c r="J15" i="10"/>
  <c r="L30" i="10"/>
  <c r="L31" i="10" s="1"/>
  <c r="L29" i="10" s="1"/>
  <c r="L33" i="10" s="1"/>
  <c r="L34" i="10" s="1"/>
  <c r="G23" i="10"/>
  <c r="F7" i="10"/>
  <c r="K15" i="10"/>
  <c r="G27" i="10"/>
  <c r="J7" i="10"/>
  <c r="E15" i="10"/>
  <c r="G19" i="10"/>
  <c r="G20" i="10"/>
  <c r="G24" i="10"/>
  <c r="P42" i="10"/>
  <c r="P47" i="10" s="1"/>
  <c r="P48" i="10" s="1"/>
  <c r="P51" i="10" s="1"/>
  <c r="P53" i="10" s="1"/>
  <c r="E11" i="16" s="1"/>
  <c r="L21" i="10"/>
  <c r="L26" i="10" s="1"/>
  <c r="L25" i="10" s="1"/>
  <c r="L28" i="10" s="1"/>
  <c r="X13" i="10"/>
  <c r="T13" i="10"/>
  <c r="V13" i="10"/>
  <c r="U13" i="10"/>
  <c r="S13" i="10"/>
  <c r="G22" i="10" l="1"/>
  <c r="F15" i="10"/>
  <c r="E38" i="10" s="1"/>
  <c r="K7" i="10"/>
  <c r="J17" i="10" s="1"/>
  <c r="I17" i="10"/>
  <c r="J38" i="10"/>
  <c r="I12" i="10"/>
  <c r="G30" i="10"/>
  <c r="G31" i="10" s="1"/>
  <c r="G29" i="10" s="1"/>
  <c r="G33" i="10" s="1"/>
  <c r="G34" i="10" s="1"/>
  <c r="G21" i="10"/>
  <c r="G26" i="10" s="1"/>
  <c r="G25" i="10" s="1"/>
  <c r="G28" i="10" s="1"/>
  <c r="E17" i="10" l="1"/>
  <c r="I45" i="10"/>
  <c r="F38" i="10"/>
  <c r="K38" i="10"/>
  <c r="F17" i="10"/>
  <c r="C17" i="10"/>
  <c r="K17" i="10"/>
  <c r="J12" i="10"/>
  <c r="J45" i="10" s="1"/>
  <c r="C12" i="10"/>
  <c r="E12" i="10"/>
  <c r="E45" i="10" s="1"/>
  <c r="H12" i="10"/>
  <c r="H17" i="10"/>
  <c r="D17" i="10"/>
  <c r="D12" i="10"/>
  <c r="C45" i="10" l="1"/>
  <c r="H45" i="10"/>
  <c r="K39" i="10" s="1"/>
  <c r="K42" i="10" s="1"/>
  <c r="K12" i="10"/>
  <c r="K45" i="10" s="1"/>
  <c r="K52" i="10"/>
  <c r="F52" i="10"/>
  <c r="D45" i="10"/>
  <c r="F39" i="10" s="1"/>
  <c r="F42" i="10" s="1"/>
  <c r="F12" i="10"/>
  <c r="F45" i="10" s="1"/>
  <c r="F47" i="10" l="1"/>
  <c r="F48" i="10" s="1"/>
  <c r="F51" i="10" s="1"/>
  <c r="F53" i="10" s="1"/>
  <c r="C11" i="16" s="1"/>
  <c r="K47" i="10"/>
  <c r="K48" i="10" s="1"/>
  <c r="K51" i="10" s="1"/>
  <c r="K53" i="10" s="1"/>
  <c r="D11" i="16" s="1"/>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<sst xmlns="http://schemas.openxmlformats.org/spreadsheetml/2006/main" count="571" uniqueCount="510">
  <si>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</si>
  <si>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</si>
  <si>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</si>
  <si>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</si>
  <si>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</si>
  <si>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</si>
  <si>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</si>
  <si>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</si>
  <si>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</si>
  <si>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</si>
  <si>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</si>
  <si>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</si>
  <si>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</si>
  <si>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</si>
  <si>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</si>
  <si>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</si>
  <si>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</si>
  <si>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</si>
  <si>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</si>
  <si>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</si>
  <si>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</si>
  <si>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</si>
  <si>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</si>
  <si>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</si>
  <si>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</si>
  <si>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</si>
  <si>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</si>
  <si>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</si>
  <si>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</si>
  <si>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</si>
  <si>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</si>
  <si>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</si>
  <si>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</si>
  <si>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</si>
  <si>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</si>
  <si>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</si>
  <si>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</si>
  <si>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</si>
  <si>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</si>
  <si>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</si>
  <si>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</si>
  <si>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</si>
  <si>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</si>
  <si>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</si>
  <si>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</si>
  <si>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</si>
  <si>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</si>
  <si>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</si>
  <si>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</si>
  <si>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</si>
  <si>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</si>
  <si>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</si>
  <si>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</si>
  <si>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</si>
  <si>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</si>
  <si>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</si>
  <si>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</si>
  <si>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</si>
  <si>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</si>
  <si>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</si>
  <si>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</si>
  <si>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</si>
  <si>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</si>
  <si>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</si>
  <si>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</si>
  <si>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</si>
  <si>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</si>
  <si>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</si>
  <si>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</si>
  <si>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</si>
  <si>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</si>
  <si>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</si>
  <si>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</si>
  <si>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</si>
  <si>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</si>
  <si>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</si>
  <si>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</si>
  <si>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</si>
  <si>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</si>
  <si>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</si>
  <si>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</si>
  <si>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</si>
  <si>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</si>
  <si>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</si>
  <si>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</si>
  <si>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</si>
  <si>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</si>
  <si>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</si>
  <si>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</si>
  <si>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</si>
  <si>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</si>
  <si>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</si>
  <si>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</si>
  <si>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</si>
  <si>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</si>
  <si>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</si>
  <si>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</si>
  <si>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</si>
  <si>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</si>
  <si>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</si>
  <si>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</si>
  <si>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</si>
  <si>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</si>
  <si>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</si>
  <si>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</si>
  <si>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</si>
  <si>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</si>
  <si>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</si>
  <si>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</si>
  <si>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</si>
  <si>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</si>
  <si>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</si>
  <si>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</si>
  <si>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</si>
  <si>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</si>
  <si>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</si>
  <si>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</si>
  <si>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</si>
  <si>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</si>
  <si>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</si>
  <si>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</si>
  <si>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</si>
  <si>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</si>
  <si>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</si>
  <si>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</si>
  <si>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</si>
  <si>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</si>
  <si>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</si>
  <si>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</si>
  <si>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</si>
  <si>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</si>
  <si>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</si>
  <si>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</si>
  <si>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</si>
  <si>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</si>
  <si>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</si>
  <si>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</si>
  <si>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</si>
  <si>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</si>
  <si>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</si>
  <si>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</si>
  <si>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</si>
  <si>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</si>
  <si>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</si>
  <si>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</si>
  <si>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</si>
  <si>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</si>
  <si>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</si>
  <si>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</si>
  <si>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</si>
  <si>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</si>
  <si>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</si>
  <si>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</si>
  <si>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</si>
  <si>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</si>
  <si>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</si>
  <si>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</si>
  <si>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</si>
  <si>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</si>
  <si>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</si>
  <si>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</si>
  <si>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</si>
  <si>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</si>
  <si>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</si>
  <si>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</si>
  <si>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</si>
  <si>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</si>
  <si>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</si>
  <si>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</si>
  <si>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</si>
  <si>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</si>
  <si>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</si>
  <si>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</si>
  <si>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</si>
  <si>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</si>
  <si>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</si>
  <si>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</si>
  <si>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</si>
  <si>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</si>
  <si>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</si>
  <si>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</si>
  <si>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</si>
  <si>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</si>
  <si>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</si>
  <si>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</si>
  <si>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</si>
  <si>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</si>
  <si>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</si>
  <si>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</si>
  <si>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</si>
  <si>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</si>
  <si>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</si>
  <si>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</si>
  <si>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</si>
  <si>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</si>
  <si>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</si>
  <si>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</si>
  <si>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</si>
  <si>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</si>
  <si>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</si>
  <si>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</si>
  <si>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</si>
  <si>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</si>
  <si>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</si>
  <si>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</si>
  <si>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</si>
  <si>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</si>
  <si>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</si>
  <si>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</si>
  <si>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</si>
  <si>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</si>
  <si>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</si>
  <si>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</si>
  <si>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</si>
  <si>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</si>
  <si>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</si>
  <si>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</si>
  <si>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</si>
  <si>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</si>
  <si>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</si>
  <si>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</si>
  <si>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</si>
  <si>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</si>
  <si>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</si>
  <si>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</si>
  <si>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</si>
  <si>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</si>
  <si>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</si>
  <si>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</si>
  <si>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</si>
  <si>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</si>
  <si>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</si>
  <si>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</si>
  <si>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</si>
  <si>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</si>
  <si>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</si>
  <si>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</si>
  <si>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</si>
  <si>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</si>
  <si>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</si>
  <si>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</si>
  <si>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</si>
  <si>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</si>
  <si>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</si>
  <si>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</si>
  <si>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</si>
  <si>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</si>
  <si>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</si>
  <si>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</si>
  <si>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</si>
  <si>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</si>
  <si>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</si>
  <si>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</si>
  <si>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</si>
  <si>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</si>
  <si>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</si>
  <si>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</si>
  <si>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</si>
  <si>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</si>
  <si>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</si>
  <si>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</si>
  <si>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</si>
  <si>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</si>
  <si>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</si>
  <si>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</si>
  <si>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</si>
  <si>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</si>
  <si>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</si>
  <si>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</si>
  <si>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</si>
  <si>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</si>
  <si>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</si>
  <si>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</si>
  <si>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</si>
  <si>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</si>
  <si>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</si>
  <si>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</si>
  <si>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</si>
  <si>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</si>
  <si>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</si>
  <si>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</si>
  <si>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</si>
  <si>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</si>
  <si>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</si>
  <si>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</si>
  <si>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</si>
  <si>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</si>
  <si>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</si>
  <si>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</si>
  <si>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</si>
  <si>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</si>
  <si>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</si>
  <si>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</si>
  <si>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</si>
  <si>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</si>
  <si>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</si>
  <si>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</si>
  <si>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</si>
  <si>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</si>
  <si>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</si>
  <si>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</si>
  <si>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</si>
  <si>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</si>
  <si>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</si>
  <si>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</si>
  <si>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</si>
  <si>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</si>
  <si>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</si>
  <si>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</si>
  <si>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</si>
  <si>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</si>
  <si>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</si>
  <si>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</si>
  <si>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</si>
  <si>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</si>
  <si>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</si>
  <si>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</si>
  <si>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</si>
  <si>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</si>
  <si>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</si>
  <si>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</si>
  <si>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</si>
  <si>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</si>
  <si>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</si>
  <si>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</si>
  <si>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</si>
  <si>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</si>
  <si>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</si>
  <si>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</si>
  <si>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</si>
  <si>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</si>
  <si>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</si>
  <si>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</si>
  <si>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</si>
  <si>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</si>
  <si>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</si>
  <si>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</si>
  <si>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</si>
  <si>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</si>
  <si>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</si>
  <si>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</si>
  <si>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</si>
  <si>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</si>
  <si>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</si>
  <si>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</si>
  <si>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</si>
  <si>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</si>
  <si>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</si>
  <si>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</si>
  <si>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</si>
  <si>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</si>
  <si>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</si>
  <si>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</si>
  <si>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</si>
  <si>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</si>
  <si>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</si>
  <si>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</si>
  <si>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</si>
  <si>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</si>
  <si>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</si>
  <si>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</si>
  <si>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</si>
  <si>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</si>
  <si>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</si>
  <si>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</si>
  <si>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</si>
  <si>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</si>
  <si>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</si>
  <si>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</si>
  <si>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</si>
  <si>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</si>
  <si>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</si>
  <si>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</si>
  <si>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</si>
  <si>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</si>
  <si>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</si>
  <si>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</si>
  <si>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</si>
  <si>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</si>
  <si>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</si>
  <si>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</si>
  <si>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</si>
  <si>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</si>
  <si>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</si>
  <si>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</si>
  <si>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</si>
  <si>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</si>
  <si>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</si>
  <si>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</si>
  <si>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</si>
  <si>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</si>
  <si>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</si>
  <si>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</si>
  <si>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</si>
  <si>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</si>
  <si>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</si>
  <si>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</si>
  <si>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</si>
  <si>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</si>
  <si>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</si>
  <si>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</si>
  <si>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</si>
  <si>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</si>
  <si>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</si>
  <si>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</si>
  <si>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</si>
  <si>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</si>
  <si>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</si>
  <si>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</si>
  <si>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</si>
  <si>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</si>
  <si>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</si>
  <si>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</si>
  <si>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</si>
  <si>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</si>
  <si>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</si>
  <si>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</si>
  <si>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</si>
  <si>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</si>
  <si>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</si>
  <si>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</si>
  <si>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</si>
  <si>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</si>
  <si>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</si>
  <si>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</si>
  <si>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</si>
  <si>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</si>
  <si>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</si>
  <si>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</si>
  <si>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</si>
  <si>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</si>
  <si>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</si>
  <si>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</si>
  <si>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</si>
  <si>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</si>
  <si>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</si>
  <si>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</si>
  <si>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</si>
  <si>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</si>
  <si>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</si>
  <si>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</si>
  <si>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</si>
  <si>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</si>
  <si>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</si>
  <si>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</si>
  <si>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</si>
  <si>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</si>
  <si>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</si>
  <si>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</si>
  <si>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</si>
  <si>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</si>
  <si>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</si>
  <si>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</si>
  <si>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</si>
  <si>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</si>
  <si>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</si>
  <si>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</si>
  <si>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</si>
  <si>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</si>
  <si>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</si>
  <si>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</si>
  <si>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</si>
  <si>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</si>
  <si>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</si>
  <si>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</si>
  <si>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</si>
  <si>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</si>
  <si>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</si>
  <si>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</si>
  <si>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</si>
  <si>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</si>
  <si>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</si>
  <si>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</si>
  <si>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</si>
  <si>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</si>
  <si>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</si>
  <si>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</si>
  <si>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</si>
  <si>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</si>
  <si>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</si>
  <si>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</si>
  <si>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</si>
  <si>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</si>
  <si>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</si>
  <si>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</si>
  <si>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</si>
  <si>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</si>
  <si>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</si>
  <si>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</si>
  <si>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</si>
  <si>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</si>
  <si>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</si>
  <si>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</si>
  <si>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</si>
  <si>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</si>
  <si>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</si>
  <si>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</si>
  <si>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</si>
  <si>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</si>
  <si>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</si>
  <si>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</si>
  <si>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</si>
  <si>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</si>
  <si>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</si>
  <si>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</si>
  <si>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99791</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</si>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</sst>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155</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50067990</v>
      </c>
      <c r="E5" s="213">
        <f>SUM('Pt 2 Premium and Claims'!E$5,'Pt 2 Premium and Claims'!E$6,-'Pt 2 Premium and Claims'!E$7,-'Pt 2 Premium and Claims'!E$13,'Pt 2 Premium and Claims'!E$14:'Pt 2 Premium and Claims'!E$17)</f>
        <v>54178125.470000006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57562577</v>
      </c>
      <c r="K5" s="213">
        <f>SUM('Pt 2 Premium and Claims'!K$5,'Pt 2 Premium and Claims'!K$6,-'Pt 2 Premium and Claims'!K$7,-'Pt 2 Premium and Claims'!K$13,'Pt 2 Premium and Claims'!K$14,'Pt 2 Premium and Claims'!K$16:'Pt 2 Premium and Claims'!K$17)</f>
        <v>53817892.923600897</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17524845</v>
      </c>
      <c r="Q5" s="213">
        <f>SUM('Pt 2 Premium and Claims'!Q$5,'Pt 2 Premium and Claims'!Q$6,-'Pt 2 Premium and Claims'!Q$7,-'Pt 2 Premium and Claims'!Q$13,'Pt 2 Premium and Claims'!Q$14)</f>
        <v>16089353.1521663</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16925648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-66180</v>
      </c>
      <c r="E7" s="217">
        <v>-66180.13</v>
      </c>
      <c r="F7" s="217"/>
      <c r="G7" s="217"/>
      <c r="H7" s="217"/>
      <c r="I7" s="216"/>
      <c r="J7" s="216">
        <v>-312779</v>
      </c>
      <c r="K7" s="217">
        <v>-309897.89</v>
      </c>
      <c r="L7" s="217"/>
      <c r="M7" s="217"/>
      <c r="N7" s="217"/>
      <c r="O7" s="216"/>
      <c r="P7" s="216">
        <v>-142781</v>
      </c>
      <c r="Q7" s="217">
        <v>-98098.65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-118950</v>
      </c>
      <c r="AU7" s="220">
        <v>0</v>
      </c>
      <c r="AV7" s="290"/>
      <c r="AW7" s="297"/>
    </row>
    <row r="8" spans="1:49" ht="25.5" x14ac:dyDescent="0.2">
      <c r="B8" s="239" t="s">
        <v>225</v>
      </c>
      <c r="C8" s="203" t="s">
        <v>59</v>
      </c>
      <c r="D8" s="216">
        <v>-268101</v>
      </c>
      <c r="E8" s="268"/>
      <c r="F8" s="269"/>
      <c r="G8" s="269"/>
      <c r="H8" s="269"/>
      <c r="I8" s="272"/>
      <c r="J8" s="216">
        <v>-95387</v>
      </c>
      <c r="K8" s="268"/>
      <c r="L8" s="269"/>
      <c r="M8" s="269"/>
      <c r="N8" s="269"/>
      <c r="O8" s="272"/>
      <c r="P8" s="216">
        <v>-22660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-216355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58332859</v>
      </c>
      <c r="E12" s="213">
        <f>'Pt 2 Premium and Claims'!E$54</f>
        <v>57228856.868500002</v>
      </c>
      <c r="F12" s="213">
        <f>'Pt 2 Premium and Claims'!F$54</f>
        <v>0</v>
      </c>
      <c r="G12" s="213">
        <f>'Pt 2 Premium and Claims'!G$54</f>
        <v>0</v>
      </c>
      <c r="H12" s="213">
        <f>'Pt 2 Premium and Claims'!H$54</f>
        <v>0</v>
      </c>
      <c r="I12" s="212">
        <f>'Pt 2 Premium and Claims'!I$54</f>
        <v>0</v>
      </c>
      <c r="J12" s="212">
        <f>'Pt 2 Premium and Claims'!J$54</f>
        <v>41089033</v>
      </c>
      <c r="K12" s="213">
        <f>'Pt 2 Premium and Claims'!K$54</f>
        <v>39213009.368563265</v>
      </c>
      <c r="L12" s="213">
        <f>'Pt 2 Premium and Claims'!L$54</f>
        <v>0</v>
      </c>
      <c r="M12" s="213">
        <f>'Pt 2 Premium and Claims'!M$54</f>
        <v>0</v>
      </c>
      <c r="N12" s="213">
        <f>'Pt 2 Premium and Claims'!N$54</f>
        <v>0</v>
      </c>
      <c r="O12" s="212">
        <f>'Pt 2 Premium and Claims'!O$54</f>
        <v>0</v>
      </c>
      <c r="P12" s="212">
        <f>'Pt 2 Premium and Claims'!P$54</f>
        <v>15084813</v>
      </c>
      <c r="Q12" s="213">
        <f>'Pt 2 Premium and Claims'!Q$54</f>
        <v>12777810.777722998</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12810970</v>
      </c>
      <c r="AU12" s="214">
        <f>'Pt 2 Premium and Claims'!AU$54</f>
        <v>0</v>
      </c>
      <c r="AV12" s="291"/>
      <c r="AW12" s="296"/>
    </row>
    <row r="13" spans="1:49" ht="25.5" x14ac:dyDescent="0.2">
      <c r="B13" s="239" t="s">
        <v>230</v>
      </c>
      <c r="C13" s="203" t="s">
        <v>37</v>
      </c>
      <c r="D13" s="216">
        <v>8117323</v>
      </c>
      <c r="E13" s="217">
        <v>8087128.3300000001</v>
      </c>
      <c r="F13" s="217"/>
      <c r="G13" s="268"/>
      <c r="H13" s="269"/>
      <c r="I13" s="216"/>
      <c r="J13" s="216">
        <v>8830686</v>
      </c>
      <c r="K13" s="217">
        <v>8335412.2655677646</v>
      </c>
      <c r="L13" s="217"/>
      <c r="M13" s="268"/>
      <c r="N13" s="269"/>
      <c r="O13" s="216"/>
      <c r="P13" s="216">
        <v>2246484</v>
      </c>
      <c r="Q13" s="217">
        <v>2742950.1854502615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60597</v>
      </c>
      <c r="AU13" s="220">
        <v>0</v>
      </c>
      <c r="AV13" s="290"/>
      <c r="AW13" s="297"/>
    </row>
    <row r="14" spans="1:49" ht="25.5" x14ac:dyDescent="0.2">
      <c r="B14" s="239" t="s">
        <v>231</v>
      </c>
      <c r="C14" s="203" t="s">
        <v>6</v>
      </c>
      <c r="D14" s="216">
        <v>824514</v>
      </c>
      <c r="E14" s="217">
        <v>816010.99</v>
      </c>
      <c r="F14" s="217"/>
      <c r="G14" s="267"/>
      <c r="H14" s="270"/>
      <c r="I14" s="216"/>
      <c r="J14" s="216">
        <v>1371925</v>
      </c>
      <c r="K14" s="217">
        <v>1335948.097527334</v>
      </c>
      <c r="L14" s="217"/>
      <c r="M14" s="267"/>
      <c r="N14" s="270"/>
      <c r="O14" s="216"/>
      <c r="P14" s="216">
        <v>362733</v>
      </c>
      <c r="Q14" s="217">
        <v>441046.41318813601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-49</v>
      </c>
      <c r="AU14" s="220">
        <v>0</v>
      </c>
      <c r="AV14" s="290"/>
      <c r="AW14" s="297"/>
    </row>
    <row r="15" spans="1:49" ht="38.25" x14ac:dyDescent="0.2">
      <c r="B15" s="239" t="s">
        <v>232</v>
      </c>
      <c r="C15" s="203" t="s">
        <v>7</v>
      </c>
      <c r="D15" s="216">
        <v>56</v>
      </c>
      <c r="E15" s="217">
        <v>55.52</v>
      </c>
      <c r="F15" s="217"/>
      <c r="G15" s="267"/>
      <c r="H15" s="273"/>
      <c r="I15" s="216"/>
      <c r="J15" s="216">
        <v>69</v>
      </c>
      <c r="K15" s="217">
        <v>64.650061663627355</v>
      </c>
      <c r="L15" s="217"/>
      <c r="M15" s="267"/>
      <c r="N15" s="273"/>
      <c r="O15" s="216"/>
      <c r="P15" s="216">
        <v>18</v>
      </c>
      <c r="Q15" s="217">
        <v>16.639938336372651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19</v>
      </c>
      <c r="AU15" s="220">
        <v>0</v>
      </c>
      <c r="AV15" s="290"/>
      <c r="AW15" s="297"/>
    </row>
    <row r="16" spans="1:49" ht="25.5" x14ac:dyDescent="0.2">
      <c r="B16" s="239" t="s">
        <v>233</v>
      </c>
      <c r="C16" s="203" t="s">
        <v>61</v>
      </c>
      <c r="D16" s="216">
        <v>-10987765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-1933698</v>
      </c>
      <c r="AU16" s="220">
        <v>0</v>
      </c>
      <c r="AV16" s="290"/>
      <c r="AW16" s="297"/>
    </row>
    <row r="17" spans="1:49" x14ac:dyDescent="0.2">
      <c r="B17" s="239" t="s">
        <v>234</v>
      </c>
      <c r="C17" s="203" t="s">
        <v>62</v>
      </c>
      <c r="D17" s="216">
        <v>14995620</v>
      </c>
      <c r="E17" s="267"/>
      <c r="F17" s="270"/>
      <c r="G17" s="270"/>
      <c r="H17" s="270"/>
      <c r="I17" s="271"/>
      <c r="J17" s="216">
        <v>138544</v>
      </c>
      <c r="K17" s="267"/>
      <c r="L17" s="270"/>
      <c r="M17" s="270"/>
      <c r="N17" s="270"/>
      <c r="O17" s="271"/>
      <c r="P17" s="216">
        <v>-82600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131593</v>
      </c>
      <c r="E18" s="267"/>
      <c r="F18" s="270"/>
      <c r="G18" s="270"/>
      <c r="H18" s="273"/>
      <c r="I18" s="271"/>
      <c r="J18" s="216">
        <v>223207</v>
      </c>
      <c r="K18" s="267"/>
      <c r="L18" s="270"/>
      <c r="M18" s="270"/>
      <c r="N18" s="273"/>
      <c r="O18" s="271"/>
      <c r="P18" s="216">
        <v>81521</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377407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15656</v>
      </c>
      <c r="K20" s="267"/>
      <c r="L20" s="270"/>
      <c r="M20" s="270"/>
      <c r="N20" s="270"/>
      <c r="O20" s="271"/>
      <c r="P20" s="216">
        <v>1080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51835.37</v>
      </c>
      <c r="E22" s="222">
        <f>'Pt 2 Premium and Claims'!E$55</f>
        <v>51835.37</v>
      </c>
      <c r="F22" s="222">
        <f>'Pt 2 Premium and Claims'!F$55</f>
        <v>0</v>
      </c>
      <c r="G22" s="222">
        <f>'Pt 2 Premium and Claims'!G$55</f>
        <v>0</v>
      </c>
      <c r="H22" s="222">
        <f>'Pt 2 Premium and Claims'!H$55</f>
        <v>0</v>
      </c>
      <c r="I22" s="221">
        <f>'Pt 2 Premium and Claims'!I$55</f>
        <v>0</v>
      </c>
      <c r="J22" s="221">
        <f>'Pt 2 Premium and Claims'!J$55</f>
        <v>87085.91</v>
      </c>
      <c r="K22" s="222">
        <f>'Pt 2 Premium and Claims'!K$55</f>
        <v>81363.867877047669</v>
      </c>
      <c r="L22" s="222">
        <f>'Pt 2 Premium and Claims'!L$55</f>
        <v>0</v>
      </c>
      <c r="M22" s="222">
        <f>'Pt 2 Premium and Claims'!M$55</f>
        <v>0</v>
      </c>
      <c r="N22" s="222">
        <f>'Pt 2 Premium and Claims'!N$55</f>
        <v>0</v>
      </c>
      <c r="O22" s="221">
        <f>'Pt 2 Premium and Claims'!O$55</f>
        <v>0</v>
      </c>
      <c r="P22" s="221">
        <f>'Pt 2 Premium and Claims'!P$55</f>
        <v>22587.69</v>
      </c>
      <c r="Q22" s="222">
        <f>'Pt 2 Premium and Claims'!Q$55</f>
        <v>20668.642122952326</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-1409470.98</v>
      </c>
      <c r="E25" s="217">
        <v>-1409470.9830996294</v>
      </c>
      <c r="F25" s="217"/>
      <c r="G25" s="217"/>
      <c r="H25" s="217"/>
      <c r="I25" s="216"/>
      <c r="J25" s="216">
        <v>2591384.64</v>
      </c>
      <c r="K25" s="217">
        <v>2457966.2852927879</v>
      </c>
      <c r="L25" s="217"/>
      <c r="M25" s="217"/>
      <c r="N25" s="217"/>
      <c r="O25" s="216"/>
      <c r="P25" s="216">
        <v>-1071883.6399999999</v>
      </c>
      <c r="Q25" s="217">
        <v>-686457.21537038905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861406.87</v>
      </c>
      <c r="AU25" s="220"/>
      <c r="AV25" s="220"/>
      <c r="AW25" s="297"/>
    </row>
    <row r="26" spans="1:49" s="5" customFormat="1" x14ac:dyDescent="0.2">
      <c r="A26" s="35"/>
      <c r="B26" s="242" t="s">
        <v>242</v>
      </c>
      <c r="C26" s="203"/>
      <c r="D26" s="216">
        <v>14215.07</v>
      </c>
      <c r="E26" s="217">
        <v>14215.07</v>
      </c>
      <c r="F26" s="217"/>
      <c r="G26" s="217"/>
      <c r="H26" s="217"/>
      <c r="I26" s="216"/>
      <c r="J26" s="216">
        <v>31738.53</v>
      </c>
      <c r="K26" s="217">
        <v>29212.120806189942</v>
      </c>
      <c r="L26" s="217"/>
      <c r="M26" s="217"/>
      <c r="N26" s="217"/>
      <c r="O26" s="216"/>
      <c r="P26" s="216">
        <v>8790.57</v>
      </c>
      <c r="Q26" s="217">
        <v>9154.689193810058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816402.3</v>
      </c>
      <c r="E27" s="217">
        <v>816402.3</v>
      </c>
      <c r="F27" s="217"/>
      <c r="G27" s="217"/>
      <c r="H27" s="217"/>
      <c r="I27" s="216"/>
      <c r="J27" s="216">
        <v>1021639.13</v>
      </c>
      <c r="K27" s="217">
        <v>956903.74080804142</v>
      </c>
      <c r="L27" s="217"/>
      <c r="M27" s="217"/>
      <c r="N27" s="217"/>
      <c r="O27" s="216"/>
      <c r="P27" s="216">
        <v>260136.13</v>
      </c>
      <c r="Q27" s="217">
        <v>240975.14919195854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11862.77</v>
      </c>
      <c r="AU27" s="220"/>
      <c r="AV27" s="293"/>
      <c r="AW27" s="297"/>
    </row>
    <row r="28" spans="1:49" s="5" customFormat="1" x14ac:dyDescent="0.2">
      <c r="A28" s="35"/>
      <c r="B28" s="242" t="s">
        <v>244</v>
      </c>
      <c r="C28" s="203"/>
      <c r="D28" s="216">
        <v>88866.84</v>
      </c>
      <c r="E28" s="217">
        <v>88866.84</v>
      </c>
      <c r="F28" s="217"/>
      <c r="G28" s="217"/>
      <c r="H28" s="217"/>
      <c r="I28" s="216"/>
      <c r="J28" s="216">
        <v>100947.01</v>
      </c>
      <c r="K28" s="217">
        <v>94103.928673826551</v>
      </c>
      <c r="L28" s="217"/>
      <c r="M28" s="217"/>
      <c r="N28" s="217"/>
      <c r="O28" s="216"/>
      <c r="P28" s="216">
        <v>29261.45</v>
      </c>
      <c r="Q28" s="217">
        <v>26392.841326173442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23616.240000000002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-98935.14</v>
      </c>
      <c r="E30" s="217">
        <v>-98935.140242553272</v>
      </c>
      <c r="F30" s="217"/>
      <c r="G30" s="217"/>
      <c r="H30" s="217"/>
      <c r="I30" s="216"/>
      <c r="J30" s="216">
        <v>215723.77</v>
      </c>
      <c r="K30" s="217">
        <v>204405.29549562393</v>
      </c>
      <c r="L30" s="217"/>
      <c r="M30" s="217"/>
      <c r="N30" s="217"/>
      <c r="O30" s="216"/>
      <c r="P30" s="216">
        <v>-80525.62</v>
      </c>
      <c r="Q30" s="217">
        <v>-50619.895299484771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70425.72</v>
      </c>
      <c r="AU30" s="220"/>
      <c r="AV30" s="220"/>
      <c r="AW30" s="297"/>
    </row>
    <row r="31" spans="1:49" x14ac:dyDescent="0.2">
      <c r="B31" s="242" t="s">
        <v>247</v>
      </c>
      <c r="C31" s="203"/>
      <c r="D31" s="216">
        <v>544619.18000000005</v>
      </c>
      <c r="E31" s="217">
        <v>544619.18000000005</v>
      </c>
      <c r="F31" s="217"/>
      <c r="G31" s="217"/>
      <c r="H31" s="217"/>
      <c r="I31" s="216"/>
      <c r="J31" s="216">
        <v>905998.13</v>
      </c>
      <c r="K31" s="217">
        <v>848720.1213403967</v>
      </c>
      <c r="L31" s="217"/>
      <c r="M31" s="217"/>
      <c r="N31" s="217"/>
      <c r="O31" s="216"/>
      <c r="P31" s="216">
        <v>218894.75</v>
      </c>
      <c r="Q31" s="217">
        <v>201820.33865960329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251396.08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205039.7</v>
      </c>
      <c r="E34" s="217">
        <v>410237.94</v>
      </c>
      <c r="F34" s="217"/>
      <c r="G34" s="217"/>
      <c r="H34" s="217"/>
      <c r="I34" s="216"/>
      <c r="J34" s="216">
        <v>576747.76</v>
      </c>
      <c r="K34" s="217">
        <v>542498.46338483482</v>
      </c>
      <c r="L34" s="217"/>
      <c r="M34" s="217"/>
      <c r="N34" s="217"/>
      <c r="O34" s="216"/>
      <c r="P34" s="216">
        <v>99098.4</v>
      </c>
      <c r="Q34" s="217">
        <v>133347.69661516519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32869.61</v>
      </c>
      <c r="E35" s="217">
        <v>32869.61</v>
      </c>
      <c r="F35" s="217"/>
      <c r="G35" s="217"/>
      <c r="H35" s="217"/>
      <c r="I35" s="216"/>
      <c r="J35" s="216">
        <v>36670.239999999998</v>
      </c>
      <c r="K35" s="217">
        <v>34596.305821658279</v>
      </c>
      <c r="L35" s="217"/>
      <c r="M35" s="217"/>
      <c r="N35" s="217"/>
      <c r="O35" s="216"/>
      <c r="P35" s="216">
        <v>8879.2000000000007</v>
      </c>
      <c r="Q35" s="217">
        <v>7995.974178341723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7196.86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136590</v>
      </c>
      <c r="E37" s="225">
        <v>136589.81</v>
      </c>
      <c r="F37" s="225"/>
      <c r="G37" s="225"/>
      <c r="H37" s="225"/>
      <c r="I37" s="224"/>
      <c r="J37" s="224">
        <v>144127</v>
      </c>
      <c r="K37" s="225">
        <v>130265.76984046638</v>
      </c>
      <c r="L37" s="225"/>
      <c r="M37" s="225"/>
      <c r="N37" s="225"/>
      <c r="O37" s="224"/>
      <c r="P37" s="224">
        <v>134397</v>
      </c>
      <c r="Q37" s="225">
        <v>129250.70015953362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542</v>
      </c>
      <c r="AU37" s="226">
        <v>0</v>
      </c>
      <c r="AV37" s="226">
        <v>254633</v>
      </c>
      <c r="AW37" s="296"/>
    </row>
    <row r="38" spans="1:49" x14ac:dyDescent="0.2">
      <c r="B38" s="239" t="s">
        <v>254</v>
      </c>
      <c r="C38" s="203" t="s">
        <v>16</v>
      </c>
      <c r="D38" s="216">
        <v>71307</v>
      </c>
      <c r="E38" s="217">
        <v>71307.149999999994</v>
      </c>
      <c r="F38" s="217"/>
      <c r="G38" s="217"/>
      <c r="H38" s="217"/>
      <c r="I38" s="216"/>
      <c r="J38" s="216">
        <v>48715</v>
      </c>
      <c r="K38" s="217">
        <v>39609.835277291408</v>
      </c>
      <c r="L38" s="217"/>
      <c r="M38" s="217"/>
      <c r="N38" s="217"/>
      <c r="O38" s="216"/>
      <c r="P38" s="216">
        <v>129359</v>
      </c>
      <c r="Q38" s="217">
        <v>121811.39472270859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188282</v>
      </c>
      <c r="AW38" s="297"/>
    </row>
    <row r="39" spans="1:49" x14ac:dyDescent="0.2">
      <c r="B39" s="242" t="s">
        <v>255</v>
      </c>
      <c r="C39" s="203" t="s">
        <v>17</v>
      </c>
      <c r="D39" s="216">
        <v>52023</v>
      </c>
      <c r="E39" s="217">
        <v>52023.29</v>
      </c>
      <c r="F39" s="217"/>
      <c r="G39" s="217"/>
      <c r="H39" s="217"/>
      <c r="I39" s="216"/>
      <c r="J39" s="216">
        <v>76787</v>
      </c>
      <c r="K39" s="217">
        <v>71023.717179679603</v>
      </c>
      <c r="L39" s="217"/>
      <c r="M39" s="217"/>
      <c r="N39" s="217"/>
      <c r="O39" s="216"/>
      <c r="P39" s="216">
        <v>33264</v>
      </c>
      <c r="Q39" s="217">
        <v>35394.812820320403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2428</v>
      </c>
      <c r="AU39" s="220">
        <v>0</v>
      </c>
      <c r="AV39" s="220">
        <v>73148</v>
      </c>
      <c r="AW39" s="297"/>
    </row>
    <row r="40" spans="1:49" x14ac:dyDescent="0.2">
      <c r="B40" s="242" t="s">
        <v>256</v>
      </c>
      <c r="C40" s="203" t="s">
        <v>38</v>
      </c>
      <c r="D40" s="216">
        <v>149819</v>
      </c>
      <c r="E40" s="217">
        <v>149819.04</v>
      </c>
      <c r="F40" s="217"/>
      <c r="G40" s="217"/>
      <c r="H40" s="217"/>
      <c r="I40" s="216"/>
      <c r="J40" s="216">
        <v>644471</v>
      </c>
      <c r="K40" s="217">
        <v>599092.90421281662</v>
      </c>
      <c r="L40" s="217"/>
      <c r="M40" s="217"/>
      <c r="N40" s="217"/>
      <c r="O40" s="216"/>
      <c r="P40" s="216">
        <v>203316</v>
      </c>
      <c r="Q40" s="217">
        <v>229365.61578718334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14245</v>
      </c>
      <c r="AU40" s="220">
        <v>0</v>
      </c>
      <c r="AV40" s="220">
        <v>270997</v>
      </c>
      <c r="AW40" s="297"/>
    </row>
    <row r="41" spans="1:49" s="5" customFormat="1" ht="25.5" x14ac:dyDescent="0.2">
      <c r="A41" s="35"/>
      <c r="B41" s="242" t="s">
        <v>257</v>
      </c>
      <c r="C41" s="203" t="s">
        <v>129</v>
      </c>
      <c r="D41" s="216">
        <v>50413</v>
      </c>
      <c r="E41" s="217">
        <v>50412.54</v>
      </c>
      <c r="F41" s="217"/>
      <c r="G41" s="217"/>
      <c r="H41" s="217"/>
      <c r="I41" s="216"/>
      <c r="J41" s="216">
        <v>87779</v>
      </c>
      <c r="K41" s="217">
        <v>82156.868024960728</v>
      </c>
      <c r="L41" s="217"/>
      <c r="M41" s="217"/>
      <c r="N41" s="217"/>
      <c r="O41" s="216"/>
      <c r="P41" s="216">
        <v>21406</v>
      </c>
      <c r="Q41" s="217">
        <v>20505.771975039272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16439</v>
      </c>
      <c r="AU41" s="220">
        <v>0</v>
      </c>
      <c r="AV41" s="220">
        <v>94259</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442843</v>
      </c>
      <c r="E44" s="225">
        <v>442842.91</v>
      </c>
      <c r="F44" s="225"/>
      <c r="G44" s="225"/>
      <c r="H44" s="225"/>
      <c r="I44" s="224"/>
      <c r="J44" s="224">
        <v>624299</v>
      </c>
      <c r="K44" s="225">
        <v>583855.6020208376</v>
      </c>
      <c r="L44" s="225"/>
      <c r="M44" s="225"/>
      <c r="N44" s="225"/>
      <c r="O44" s="224"/>
      <c r="P44" s="224">
        <v>161994</v>
      </c>
      <c r="Q44" s="225">
        <v>166683.41797916236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81630</v>
      </c>
      <c r="AU44" s="226">
        <v>0</v>
      </c>
      <c r="AV44" s="226">
        <v>583296</v>
      </c>
      <c r="AW44" s="296"/>
    </row>
    <row r="45" spans="1:49" x14ac:dyDescent="0.2">
      <c r="B45" s="245" t="s">
        <v>261</v>
      </c>
      <c r="C45" s="203" t="s">
        <v>19</v>
      </c>
      <c r="D45" s="216">
        <v>340993</v>
      </c>
      <c r="E45" s="217">
        <v>340992.93</v>
      </c>
      <c r="F45" s="217"/>
      <c r="G45" s="217"/>
      <c r="H45" s="217"/>
      <c r="I45" s="216"/>
      <c r="J45" s="216">
        <v>395292</v>
      </c>
      <c r="K45" s="217">
        <v>369786.22599336243</v>
      </c>
      <c r="L45" s="217"/>
      <c r="M45" s="217"/>
      <c r="N45" s="217"/>
      <c r="O45" s="216"/>
      <c r="P45" s="216">
        <v>95193</v>
      </c>
      <c r="Q45" s="217">
        <v>94638.684006637559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95379</v>
      </c>
      <c r="AU45" s="220">
        <v>0</v>
      </c>
      <c r="AV45" s="220">
        <v>470193</v>
      </c>
      <c r="AW45" s="297"/>
    </row>
    <row r="46" spans="1:49" x14ac:dyDescent="0.2">
      <c r="B46" s="245" t="s">
        <v>262</v>
      </c>
      <c r="C46" s="203" t="s">
        <v>20</v>
      </c>
      <c r="D46" s="216">
        <v>130818</v>
      </c>
      <c r="E46" s="217">
        <v>130818.1</v>
      </c>
      <c r="F46" s="217"/>
      <c r="G46" s="217"/>
      <c r="H46" s="217"/>
      <c r="I46" s="216"/>
      <c r="J46" s="216">
        <v>230755</v>
      </c>
      <c r="K46" s="217">
        <v>215629.08054388288</v>
      </c>
      <c r="L46" s="217"/>
      <c r="M46" s="217"/>
      <c r="N46" s="217"/>
      <c r="O46" s="216"/>
      <c r="P46" s="216">
        <v>59321</v>
      </c>
      <c r="Q46" s="217">
        <v>54682.129456117109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26329</v>
      </c>
      <c r="AU46" s="220">
        <v>0</v>
      </c>
      <c r="AV46" s="220">
        <v>194485</v>
      </c>
      <c r="AW46" s="297"/>
    </row>
    <row r="47" spans="1:49" x14ac:dyDescent="0.2">
      <c r="B47" s="245" t="s">
        <v>263</v>
      </c>
      <c r="C47" s="203" t="s">
        <v>21</v>
      </c>
      <c r="D47" s="216">
        <v>1694744</v>
      </c>
      <c r="E47" s="217">
        <v>1694744.4</v>
      </c>
      <c r="F47" s="217"/>
      <c r="G47" s="217"/>
      <c r="H47" s="217"/>
      <c r="I47" s="216"/>
      <c r="J47" s="216">
        <v>2764784</v>
      </c>
      <c r="K47" s="217">
        <v>2589244.6007107007</v>
      </c>
      <c r="L47" s="217"/>
      <c r="M47" s="217"/>
      <c r="N47" s="217"/>
      <c r="O47" s="216"/>
      <c r="P47" s="216">
        <v>521862</v>
      </c>
      <c r="Q47" s="217">
        <v>693788.7192892991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3188745</v>
      </c>
      <c r="AU47" s="220">
        <v>0</v>
      </c>
      <c r="AV47" s="220">
        <v>276186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-41027.15</v>
      </c>
      <c r="E49" s="217">
        <v>-41027.15</v>
      </c>
      <c r="F49" s="217"/>
      <c r="G49" s="217"/>
      <c r="H49" s="217"/>
      <c r="I49" s="216"/>
      <c r="J49" s="216">
        <v>75610.179999999993</v>
      </c>
      <c r="K49" s="217">
        <v>71713.523326341863</v>
      </c>
      <c r="L49" s="217"/>
      <c r="M49" s="217"/>
      <c r="N49" s="217"/>
      <c r="O49" s="216"/>
      <c r="P49" s="216">
        <v>-31646.61</v>
      </c>
      <c r="Q49" s="217">
        <v>-20583.703326341856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25117.65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2757918</v>
      </c>
      <c r="E51" s="217">
        <v>2757918.49</v>
      </c>
      <c r="F51" s="217"/>
      <c r="G51" s="217"/>
      <c r="H51" s="217"/>
      <c r="I51" s="216"/>
      <c r="J51" s="216">
        <v>3122512</v>
      </c>
      <c r="K51" s="217">
        <v>2914141.2145591099</v>
      </c>
      <c r="L51" s="217"/>
      <c r="M51" s="217"/>
      <c r="N51" s="217"/>
      <c r="O51" s="216"/>
      <c r="P51" s="216">
        <v>838202</v>
      </c>
      <c r="Q51" s="217">
        <v>749223.48544089007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-566201</v>
      </c>
      <c r="AU51" s="220">
        <v>0</v>
      </c>
      <c r="AV51" s="220">
        <v>3255435</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4465</v>
      </c>
      <c r="E56" s="229">
        <v>4465</v>
      </c>
      <c r="F56" s="229"/>
      <c r="G56" s="229"/>
      <c r="H56" s="229"/>
      <c r="I56" s="228"/>
      <c r="J56" s="228">
        <v>8406</v>
      </c>
      <c r="K56" s="229">
        <v>8219</v>
      </c>
      <c r="L56" s="229"/>
      <c r="M56" s="229"/>
      <c r="N56" s="229"/>
      <c r="O56" s="228"/>
      <c r="P56" s="228">
        <v>4287</v>
      </c>
      <c r="Q56" s="229">
        <v>1324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19817</v>
      </c>
      <c r="AU56" s="230">
        <v>0</v>
      </c>
      <c r="AV56" s="230">
        <v>6359</v>
      </c>
      <c r="AW56" s="288"/>
    </row>
    <row r="57" spans="2:49" x14ac:dyDescent="0.2">
      <c r="B57" s="245" t="s">
        <v>272</v>
      </c>
      <c r="C57" s="203" t="s">
        <v>25</v>
      </c>
      <c r="D57" s="231">
        <v>7717</v>
      </c>
      <c r="E57" s="232">
        <v>7717</v>
      </c>
      <c r="F57" s="232"/>
      <c r="G57" s="232"/>
      <c r="H57" s="232"/>
      <c r="I57" s="231"/>
      <c r="J57" s="231">
        <v>14559</v>
      </c>
      <c r="K57" s="232">
        <v>13454</v>
      </c>
      <c r="L57" s="232"/>
      <c r="M57" s="232"/>
      <c r="N57" s="232"/>
      <c r="O57" s="231"/>
      <c r="P57" s="231">
        <v>7796</v>
      </c>
      <c r="Q57" s="232">
        <v>3057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31631</v>
      </c>
      <c r="AU57" s="233">
        <v>0</v>
      </c>
      <c r="AV57" s="233">
        <v>13732</v>
      </c>
      <c r="AW57" s="289"/>
    </row>
    <row r="58" spans="2:49" x14ac:dyDescent="0.2">
      <c r="B58" s="245" t="s">
        <v>273</v>
      </c>
      <c r="C58" s="203" t="s">
        <v>26</v>
      </c>
      <c r="D58" s="309"/>
      <c r="E58" s="310"/>
      <c r="F58" s="310"/>
      <c r="G58" s="310"/>
      <c r="H58" s="310"/>
      <c r="I58" s="309"/>
      <c r="J58" s="231">
        <v>764</v>
      </c>
      <c r="K58" s="232">
        <v>764</v>
      </c>
      <c r="L58" s="232"/>
      <c r="M58" s="232"/>
      <c r="N58" s="232"/>
      <c r="O58" s="231"/>
      <c r="P58" s="231">
        <v>13</v>
      </c>
      <c r="Q58" s="232">
        <v>13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130</v>
      </c>
      <c r="AU58" s="233">
        <v>0</v>
      </c>
      <c r="AV58" s="233">
        <v>13</v>
      </c>
      <c r="AW58" s="289"/>
    </row>
    <row r="59" spans="2:49" x14ac:dyDescent="0.2">
      <c r="B59" s="245" t="s">
        <v>274</v>
      </c>
      <c r="C59" s="203" t="s">
        <v>27</v>
      </c>
      <c r="D59" s="231">
        <v>105061</v>
      </c>
      <c r="E59" s="232">
        <v>105258</v>
      </c>
      <c r="F59" s="232"/>
      <c r="G59" s="232"/>
      <c r="H59" s="232"/>
      <c r="I59" s="231"/>
      <c r="J59" s="231">
        <v>164196</v>
      </c>
      <c r="K59" s="232">
        <v>150375</v>
      </c>
      <c r="L59" s="232"/>
      <c r="M59" s="232"/>
      <c r="N59" s="232"/>
      <c r="O59" s="231"/>
      <c r="P59" s="231">
        <v>94252</v>
      </c>
      <c r="Q59" s="232">
        <v>37254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425151</v>
      </c>
      <c r="AU59" s="233">
        <v>0</v>
      </c>
      <c r="AV59" s="233">
        <v>179144</v>
      </c>
      <c r="AW59" s="289"/>
    </row>
    <row r="60" spans="2:49" x14ac:dyDescent="0.2">
      <c r="B60" s="245" t="s">
        <v>275</v>
      </c>
      <c r="C60" s="203"/>
      <c r="D60" s="234">
        <f t="shared" ref="D60:AC60" si="0">D$59/12</f>
        <v>8755.0833333333339</v>
      </c>
      <c r="E60" s="235">
        <f t="shared" si="0"/>
        <v>8771.5</v>
      </c>
      <c r="F60" s="235">
        <f t="shared" si="0"/>
        <v>0</v>
      </c>
      <c r="G60" s="235">
        <f t="shared" si="0"/>
        <v>0</v>
      </c>
      <c r="H60" s="235">
        <f t="shared" si="0"/>
        <v>0</v>
      </c>
      <c r="I60" s="234">
        <f t="shared" si="0"/>
        <v>0</v>
      </c>
      <c r="J60" s="234">
        <f t="shared" si="0"/>
        <v>13683</v>
      </c>
      <c r="K60" s="235">
        <f t="shared" si="0"/>
        <v>12531.25</v>
      </c>
      <c r="L60" s="235">
        <f t="shared" si="0"/>
        <v>0</v>
      </c>
      <c r="M60" s="235">
        <f t="shared" si="0"/>
        <v>0</v>
      </c>
      <c r="N60" s="235">
        <f t="shared" si="0"/>
        <v>0</v>
      </c>
      <c r="O60" s="234">
        <f t="shared" si="0"/>
        <v>0</v>
      </c>
      <c r="P60" s="234">
        <f t="shared" si="0"/>
        <v>7854.333333333333</v>
      </c>
      <c r="Q60" s="235">
        <f t="shared" si="0"/>
        <v>3104.5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35429.25</v>
      </c>
      <c r="AU60" s="236">
        <f>AU$59/12</f>
        <v>0</v>
      </c>
      <c r="AV60" s="236">
        <f>AV$59/12</f>
        <v>14928.666666666666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50068661</v>
      </c>
      <c r="E5" s="326">
        <v>36172211.590000004</v>
      </c>
      <c r="F5" s="326"/>
      <c r="G5" s="328"/>
      <c r="H5" s="328"/>
      <c r="I5" s="325"/>
      <c r="J5" s="325">
        <v>57562577</v>
      </c>
      <c r="K5" s="326">
        <v>54445403.6936009</v>
      </c>
      <c r="L5" s="326"/>
      <c r="M5" s="326"/>
      <c r="N5" s="326"/>
      <c r="O5" s="325"/>
      <c r="P5" s="325">
        <v>17524845</v>
      </c>
      <c r="Q5" s="326">
        <v>16089353.1521663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16928309</v>
      </c>
      <c r="AU5" s="327">
        <v>0</v>
      </c>
      <c r="AV5" s="369"/>
      <c r="AW5" s="373"/>
    </row>
    <row r="6" spans="2:49" x14ac:dyDescent="0.2">
      <c r="B6" s="343" t="s">
        <v>278</v>
      </c>
      <c r="C6" s="331" t="s">
        <v>8</v>
      </c>
      <c r="D6" s="318">
        <v>32865</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17129</v>
      </c>
      <c r="AU6" s="321">
        <v>0</v>
      </c>
      <c r="AV6" s="368"/>
      <c r="AW6" s="374"/>
    </row>
    <row r="7" spans="2:49" x14ac:dyDescent="0.2">
      <c r="B7" s="343" t="s">
        <v>279</v>
      </c>
      <c r="C7" s="331" t="s">
        <v>9</v>
      </c>
      <c r="D7" s="318">
        <v>33536</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19790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131593</v>
      </c>
      <c r="E9" s="362"/>
      <c r="F9" s="362"/>
      <c r="G9" s="362"/>
      <c r="H9" s="362"/>
      <c r="I9" s="364"/>
      <c r="J9" s="318">
        <v>223207</v>
      </c>
      <c r="K9" s="362"/>
      <c r="L9" s="362"/>
      <c r="M9" s="362"/>
      <c r="N9" s="362"/>
      <c r="O9" s="364"/>
      <c r="P9" s="318">
        <v>81521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15656</v>
      </c>
      <c r="K11" s="319"/>
      <c r="L11" s="319"/>
      <c r="M11" s="319"/>
      <c r="N11" s="319"/>
      <c r="O11" s="318"/>
      <c r="P11" s="318">
        <v>1080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377407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9594235.0700000003</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8411678.8100000005</v>
      </c>
      <c r="F16" s="319"/>
      <c r="G16" s="319"/>
      <c r="H16" s="319"/>
      <c r="I16" s="318"/>
      <c r="J16" s="318"/>
      <c r="K16" s="319">
        <v>-627510.77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-28183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59777159</v>
      </c>
      <c r="E23" s="362"/>
      <c r="F23" s="362"/>
      <c r="G23" s="362"/>
      <c r="H23" s="362"/>
      <c r="I23" s="364"/>
      <c r="J23" s="318">
        <v>39391755</v>
      </c>
      <c r="K23" s="362"/>
      <c r="L23" s="362"/>
      <c r="M23" s="362"/>
      <c r="N23" s="362"/>
      <c r="O23" s="364"/>
      <c r="P23" s="318">
        <v>14808737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13345040</v>
      </c>
      <c r="AU23" s="321">
        <v>0</v>
      </c>
      <c r="AV23" s="368"/>
      <c r="AW23" s="374"/>
    </row>
    <row r="24" spans="2:49" ht="28.5" customHeight="1" x14ac:dyDescent="0.2">
      <c r="B24" s="345" t="s">
        <v>114</v>
      </c>
      <c r="C24" s="331"/>
      <c r="D24" s="365"/>
      <c r="E24" s="319">
        <v>57564589.380000003</v>
      </c>
      <c r="F24" s="319"/>
      <c r="G24" s="319"/>
      <c r="H24" s="319"/>
      <c r="I24" s="318"/>
      <c r="J24" s="365"/>
      <c r="K24" s="319">
        <v>39943030.030000001</v>
      </c>
      <c r="L24" s="319"/>
      <c r="M24" s="319"/>
      <c r="N24" s="319"/>
      <c r="O24" s="318"/>
      <c r="P24" s="365"/>
      <c r="Q24" s="319">
        <v>12883223.119999999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6495274</v>
      </c>
      <c r="E26" s="362"/>
      <c r="F26" s="362"/>
      <c r="G26" s="362"/>
      <c r="H26" s="362"/>
      <c r="I26" s="364"/>
      <c r="J26" s="318">
        <v>5052582</v>
      </c>
      <c r="K26" s="362"/>
      <c r="L26" s="362"/>
      <c r="M26" s="362"/>
      <c r="N26" s="362"/>
      <c r="O26" s="364"/>
      <c r="P26" s="318">
        <v>2012051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2347499</v>
      </c>
      <c r="AU26" s="321">
        <v>0</v>
      </c>
      <c r="AV26" s="368"/>
      <c r="AW26" s="374"/>
    </row>
    <row r="27" spans="2:49" s="5" customFormat="1" ht="25.5" x14ac:dyDescent="0.2">
      <c r="B27" s="345" t="s">
        <v>85</v>
      </c>
      <c r="C27" s="331"/>
      <c r="D27" s="365"/>
      <c r="E27" s="319">
        <v>1195082.6784999999</v>
      </c>
      <c r="F27" s="319"/>
      <c r="G27" s="319"/>
      <c r="H27" s="319"/>
      <c r="I27" s="318"/>
      <c r="J27" s="365"/>
      <c r="K27" s="319">
        <v>708498.24573479802</v>
      </c>
      <c r="L27" s="319"/>
      <c r="M27" s="319"/>
      <c r="N27" s="319"/>
      <c r="O27" s="318"/>
      <c r="P27" s="365"/>
      <c r="Q27" s="319">
        <v>229025.0459137694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7235596</v>
      </c>
      <c r="E28" s="363"/>
      <c r="F28" s="363"/>
      <c r="G28" s="363"/>
      <c r="H28" s="363"/>
      <c r="I28" s="365"/>
      <c r="J28" s="318">
        <v>3018982</v>
      </c>
      <c r="K28" s="363"/>
      <c r="L28" s="363"/>
      <c r="M28" s="363"/>
      <c r="N28" s="363"/>
      <c r="O28" s="365"/>
      <c r="P28" s="318">
        <v>1790687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2843995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8494</v>
      </c>
      <c r="K30" s="362"/>
      <c r="L30" s="362"/>
      <c r="M30" s="362"/>
      <c r="N30" s="362"/>
      <c r="O30" s="364"/>
      <c r="P30" s="318">
        <v>553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527836</v>
      </c>
      <c r="AU30" s="321">
        <v>0</v>
      </c>
      <c r="AV30" s="368"/>
      <c r="AW30" s="374"/>
    </row>
    <row r="31" spans="2:49" s="5" customFormat="1" ht="25.5" x14ac:dyDescent="0.2">
      <c r="B31" s="345" t="s">
        <v>84</v>
      </c>
      <c r="C31" s="331"/>
      <c r="D31" s="365"/>
      <c r="E31" s="319"/>
      <c r="F31" s="319"/>
      <c r="G31" s="319"/>
      <c r="H31" s="319"/>
      <c r="I31" s="318"/>
      <c r="J31" s="365"/>
      <c r="K31" s="319">
        <v>-6295.78</v>
      </c>
      <c r="L31" s="319"/>
      <c r="M31" s="319"/>
      <c r="N31" s="319"/>
      <c r="O31" s="318"/>
      <c r="P31" s="365"/>
      <c r="Q31" s="319">
        <v>-98.17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14789</v>
      </c>
      <c r="K32" s="363"/>
      <c r="L32" s="363"/>
      <c r="M32" s="363"/>
      <c r="N32" s="363"/>
      <c r="O32" s="365"/>
      <c r="P32" s="318">
        <v>651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565497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2199052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2199052.31</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2913857</v>
      </c>
      <c r="E36" s="319">
        <v>2913856.51</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131593</v>
      </c>
      <c r="E38" s="362"/>
      <c r="F38" s="362"/>
      <c r="G38" s="362"/>
      <c r="H38" s="362"/>
      <c r="I38" s="364"/>
      <c r="J38" s="318">
        <v>223207</v>
      </c>
      <c r="K38" s="362"/>
      <c r="L38" s="362"/>
      <c r="M38" s="362"/>
      <c r="N38" s="362"/>
      <c r="O38" s="364"/>
      <c r="P38" s="318">
        <v>81521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15656</v>
      </c>
      <c r="K41" s="362"/>
      <c r="L41" s="362"/>
      <c r="M41" s="362"/>
      <c r="N41" s="362"/>
      <c r="O41" s="364"/>
      <c r="P41" s="318">
        <v>1080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377407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226366</v>
      </c>
      <c r="E49" s="319">
        <v>816010.99</v>
      </c>
      <c r="F49" s="319"/>
      <c r="G49" s="319"/>
      <c r="H49" s="319"/>
      <c r="I49" s="318"/>
      <c r="J49" s="318">
        <v>409442</v>
      </c>
      <c r="K49" s="319">
        <v>1335948.097527334</v>
      </c>
      <c r="L49" s="319"/>
      <c r="M49" s="319"/>
      <c r="N49" s="319"/>
      <c r="O49" s="318"/>
      <c r="P49" s="318">
        <v>106436</v>
      </c>
      <c r="Q49" s="319">
        <v>441046.41318813601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340</v>
      </c>
      <c r="AU49" s="321">
        <v>0</v>
      </c>
      <c r="AV49" s="368"/>
      <c r="AW49" s="374"/>
    </row>
    <row r="50" spans="2:49" x14ac:dyDescent="0.2">
      <c r="B50" s="343" t="s">
        <v>119</v>
      </c>
      <c r="C50" s="331" t="s">
        <v>34</v>
      </c>
      <c r="D50" s="318">
        <v>105600</v>
      </c>
      <c r="E50" s="363"/>
      <c r="F50" s="363"/>
      <c r="G50" s="363"/>
      <c r="H50" s="363"/>
      <c r="I50" s="365"/>
      <c r="J50" s="318">
        <v>217959</v>
      </c>
      <c r="K50" s="363"/>
      <c r="L50" s="363"/>
      <c r="M50" s="363"/>
      <c r="N50" s="363"/>
      <c r="O50" s="365"/>
      <c r="P50" s="318">
        <v>78645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427</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-96275.029644199865</v>
      </c>
      <c r="L53" s="319"/>
      <c r="M53" s="319"/>
      <c r="N53" s="319"/>
      <c r="O53" s="318"/>
      <c r="P53" s="318">
        <v>0</v>
      </c>
      <c r="Q53" s="319">
        <v>106707.19499736527</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58332859</v>
      </c>
      <c r="E54" s="323">
        <f>E24+E27+E31+E35-E36+E39+E42+E45+E46-E49+E51+E52+E53</f>
        <v>57228856.868500002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41089033</v>
      </c>
      <c r="K54" s="323">
        <f>K24+K27+K31+K35-K36+K39+K42+K45+K46-K49+K51+K52+K53</f>
        <v>39213009.368563265</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15084813</v>
      </c>
      <c r="Q54" s="323">
        <f>Q24+Q27+Q31+Q35-Q36+Q39+Q42+Q45+Q46-Q49+Q51+Q52+Q53</f>
        <v>12777810.777722998</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12810970</v>
      </c>
      <c r="AU54" s="324">
        <f>AU23+AU26-AU28+AU30-AU32+AU34-AU36+AU38+AU41-AU43+AU45+AU46-AU47-AU49+AU50+AU51+AU52+AU53</f>
        <v>0</v>
      </c>
      <c r="AV54" s="368"/>
      <c r="AW54" s="374"/>
    </row>
    <row r="55" spans="2:49" ht="25.5" x14ac:dyDescent="0.2">
      <c r="B55" s="348" t="s">
        <v>493</v>
      </c>
      <c r="C55" s="335" t="s">
        <v>28</v>
      </c>
      <c r="D55" s="322">
        <f t="shared" ref="D55:AC55" si="0">MIN(MAX(0,D56),MAX(0,D57))</f>
        <v>51835.37</v>
      </c>
      <c r="E55" s="323">
        <f t="shared" si="0"/>
        <v>51835.37</v>
      </c>
      <c r="F55" s="323">
        <f t="shared" si="0"/>
        <v>0</v>
      </c>
      <c r="G55" s="323">
        <f t="shared" si="0"/>
        <v>0</v>
      </c>
      <c r="H55" s="323">
        <f t="shared" si="0"/>
        <v>0</v>
      </c>
      <c r="I55" s="322">
        <f t="shared" si="0"/>
        <v>0</v>
      </c>
      <c r="J55" s="322">
        <f t="shared" si="0"/>
        <v>87085.91</v>
      </c>
      <c r="K55" s="323">
        <f t="shared" si="0"/>
        <v>81363.867877047669</v>
      </c>
      <c r="L55" s="323">
        <f t="shared" si="0"/>
        <v>0</v>
      </c>
      <c r="M55" s="323">
        <f t="shared" si="0"/>
        <v>0</v>
      </c>
      <c r="N55" s="323">
        <f t="shared" si="0"/>
        <v>0</v>
      </c>
      <c r="O55" s="322">
        <f t="shared" si="0"/>
        <v>0</v>
      </c>
      <c r="P55" s="322">
        <f t="shared" si="0"/>
        <v>22587.69</v>
      </c>
      <c r="Q55" s="323">
        <f t="shared" si="0"/>
        <v>20668.642122952326</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51835.37</v>
      </c>
      <c r="E56" s="319">
        <v>51835.37</v>
      </c>
      <c r="F56" s="319"/>
      <c r="G56" s="319"/>
      <c r="H56" s="319"/>
      <c r="I56" s="318"/>
      <c r="J56" s="318">
        <v>87085.91</v>
      </c>
      <c r="K56" s="319">
        <v>81363.867877047669</v>
      </c>
      <c r="L56" s="319"/>
      <c r="M56" s="319"/>
      <c r="N56" s="319"/>
      <c r="O56" s="318"/>
      <c r="P56" s="318">
        <v>22587.69</v>
      </c>
      <c r="Q56" s="319">
        <v>20668.642122952326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130567</v>
      </c>
      <c r="E57" s="319">
        <v>130567.33</v>
      </c>
      <c r="F57" s="319"/>
      <c r="G57" s="319"/>
      <c r="H57" s="319"/>
      <c r="I57" s="318"/>
      <c r="J57" s="318">
        <v>159364</v>
      </c>
      <c r="K57" s="319">
        <v>159135.60999999999</v>
      </c>
      <c r="L57" s="319"/>
      <c r="M57" s="319"/>
      <c r="N57" s="319"/>
      <c r="O57" s="318"/>
      <c r="P57" s="318">
        <v>136765</v>
      </c>
      <c r="Q57" s="319">
        <v>131050.74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54470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8623020.5299999993</v>
      </c>
      <c r="D5" s="403">
        <v>52312728.789999999</v>
      </c>
      <c r="E5" s="454"/>
      <c r="F5" s="454"/>
      <c r="G5" s="448"/>
      <c r="H5" s="402">
        <v>34401377.170000002</v>
      </c>
      <c r="I5" s="403">
        <v>33173283.850000001</v>
      </c>
      <c r="J5" s="454"/>
      <c r="K5" s="454"/>
      <c r="L5" s="448"/>
      <c r="M5" s="402">
        <v>20951762.530000001</v>
      </c>
      <c r="N5" s="403">
        <v>15388438.82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8619659.5584999993</v>
      </c>
      <c r="D6" s="398">
        <v>52281915.042800002</v>
      </c>
      <c r="E6" s="400">
        <f>SUM('Pt 1 Summary of Data'!E$12,'Pt 1 Summary of Data'!E$22)+SUM('Pt 1 Summary of Data'!G$12,'Pt 1 Summary of Data'!G$22)-SUM('Pt 1 Summary of Data'!H$12,'Pt 1 Summary of Data'!H$22)</f>
        <v>57280692.238499999</v>
      </c>
      <c r="F6" s="400">
        <f t="shared" ref="F6:F11" si="0">SUM(C6:E6)</f>
        <v>118182266.8398</v>
      </c>
      <c r="G6" s="401">
        <f>SUM('Pt 1 Summary of Data'!I$12,'Pt 1 Summary of Data'!I$22)</f>
        <v>0</v>
      </c>
      <c r="H6" s="397">
        <v>34260484.94923225</v>
      </c>
      <c r="I6" s="398">
        <v>32917185.768457379</v>
      </c>
      <c r="J6" s="400">
        <f>SUM('Pt 1 Summary of Data'!K$12,'Pt 1 Summary of Data'!K$22)+SUM('Pt 1 Summary of Data'!M$12,'Pt 1 Summary of Data'!M$22)-SUM('Pt 1 Summary of Data'!N$12,'Pt 1 Summary of Data'!N$22)</f>
        <v>39294373.236440316</v>
      </c>
      <c r="K6" s="400">
        <f>SUM(H6:J6)</f>
        <v>106472043.95412995</v>
      </c>
      <c r="L6" s="401">
        <f>SUM('Pt 1 Summary of Data'!O$12,'Pt 1 Summary of Data'!O$22)</f>
        <v>0</v>
      </c>
      <c r="M6" s="397">
        <v>20844731.245658368</v>
      </c>
      <c r="N6" s="398">
        <v>15074976.180257926</v>
      </c>
      <c r="O6" s="400">
        <f>SUM('Pt 1 Summary of Data'!Q$12,'Pt 1 Summary of Data'!Q$22)+SUM('Pt 1 Summary of Data'!S$12,'Pt 1 Summary of Data'!S$22)-SUM('Pt 1 Summary of Data'!T$12,'Pt 1 Summary of Data'!T$22)</f>
        <v>12798479.41984595</v>
      </c>
      <c r="P6" s="400">
        <f>SUM(M6:O6)</f>
        <v>48718186.845762238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126413.43</v>
      </c>
      <c r="D7" s="398">
        <v>298834.19</v>
      </c>
      <c r="E7" s="400">
        <f>SUM('Pt 1 Summary of Data'!E$37:E$41)+SUM('Pt 1 Summary of Data'!G$37:G$41)-SUM('Pt 1 Summary of Data'!H$37:H$41)+MAX(0,MIN('Pt 1 Summary of Data'!E$42+'Pt 1 Summary of Data'!G$42-'Pt 1 Summary of Data'!H$42,0.3%*('Pt 1 Summary of Data'!E$5+'Pt 1 Summary of Data'!G$5-'Pt 1 Summary of Data'!H$5-SUM(E$9:E$11))))</f>
        <v>460151.83</v>
      </c>
      <c r="F7" s="400">
        <f t="shared" si="0"/>
        <v>885399.45</v>
      </c>
      <c r="G7" s="401">
        <f>SUM('Pt 1 Summary of Data'!I$37:I$41)+MAX(0,MIN(VALUE('Pt 1 Summary of Data'!I$42),0.3%*('Pt 1 Summary of Data'!I$5-SUM(G$9:G$10))))</f>
        <v>0</v>
      </c>
      <c r="H7" s="397">
        <v>1010449.14</v>
      </c>
      <c r="I7" s="398">
        <v>964357.69</v>
      </c>
      <c r="J7" s="400">
        <f>SUM('Pt 1 Summary of Data'!K$37:K$41)+SUM('Pt 1 Summary of Data'!M$37:M$41)-SUM('Pt 1 Summary of Data'!N$37:N$41)+MAX(0,MIN('Pt 1 Summary of Data'!K$42+'Pt 1 Summary of Data'!M$42-'Pt 1 Summary of Data'!N$42,0.3%*('Pt 1 Summary of Data'!K$5+'Pt 1 Summary of Data'!M$5-'Pt 1 Summary of Data'!N$5-SUM(J$10:J$11))))</f>
        <v>922149.09453521471</v>
      </c>
      <c r="K7" s="400">
        <f>SUM(H7:J7)</f>
        <v>2896955.9245352149</v>
      </c>
      <c r="L7" s="401">
        <f>SUM('Pt 1 Summary of Data'!O$37:O$41)+MAX(0,MIN(VALUE('Pt 1 Summary of Data'!O$42),0.3%*('Pt 1 Summary of Data'!O$5-L$10)))</f>
        <v>0</v>
      </c>
      <c r="M7" s="397">
        <v>490829.58</v>
      </c>
      <c r="N7" s="398">
        <v>377902.12</v>
      </c>
      <c r="O7" s="400">
        <f>SUM('Pt 1 Summary of Data'!Q$37:Q$41)+SUM('Pt 1 Summary of Data'!S$37:S$41)-SUM('Pt 1 Summary of Data'!T$37:T$41)+MAX(0,MIN('Pt 1 Summary of Data'!Q$42+'Pt 1 Summary of Data'!S$42-'Pt 1 Summary of Data'!T$42,0.3%*('Pt 1 Summary of Data'!Q$5+'Pt 1 Summary of Data'!S$5-'Pt 1 Summary of Data'!T$5)))</f>
        <v>536328.2954647853</v>
      </c>
      <c r="P7" s="400">
        <f>SUM(M7:O7)</f>
        <v>1405059.9954647853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15014843.869999999</v>
      </c>
      <c r="E9" s="400">
        <f>'Pt 2 Premium and Claims'!E$15+'Pt 2 Premium and Claims'!G$15-'Pt 2 Premium and Claims'!H$15</f>
        <v>9594235.0700000003</v>
      </c>
      <c r="F9" s="400">
        <f t="shared" si="0"/>
        <v>24609078.939999998</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12712802.220000001</v>
      </c>
      <c r="E10" s="400">
        <f>'Pt 2 Premium and Claims'!E$16+'Pt 2 Premium and Claims'!G$16-'Pt 2 Premium and Claims'!H$16</f>
        <v>8411678.8100000005</v>
      </c>
      <c r="F10" s="400">
        <f t="shared" si="0"/>
        <v>21124481.030000001</v>
      </c>
      <c r="G10" s="401">
        <f>'Pt 2 Premium and Claims'!I$16</f>
        <v>0</v>
      </c>
      <c r="H10" s="443"/>
      <c r="I10" s="398">
        <v>65025.49</v>
      </c>
      <c r="J10" s="400">
        <f>'Pt 2 Premium and Claims'!K$16+'Pt 2 Premium and Claims'!M$16-'Pt 2 Premium and Claims'!N$16</f>
        <v>-627510.77</v>
      </c>
      <c r="K10" s="400">
        <f>SUM(H10:J10)</f>
        <v>-562485.28</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8746072.988499999</v>
      </c>
      <c r="D12" s="400">
        <f>SUM(D$6:D$7) - SUM(D$8:D$11)+IF(AND(OR('Company Information'!$C$12="District of Columbia",'Company Information'!$C$12="Massachusetts",'Company Information'!$C$12="Vermont"),SUM($C$6:$F$11,$C$15:$F$16,$C$38:$D$38)&lt;&gt;0),SUM(I$6:I$7) - SUM(I$10:I$11),0)</f>
        <v>24853103.1428</v>
      </c>
      <c r="E12" s="400">
        <f>SUM(E$6:E$7)-SUM(E$8:E$11)+IF(AND(OR('Company Information'!$C$12="District of Columbia",'Company Information'!$C$12="Massachusetts",'Company Information'!$C$12="Vermont"),SUM($C$6:$F$11,$C$15:$F$16,$C$38:$D$38)&lt;&gt;0),SUM(J$6:J$7)-SUM(J$10:J$11),0)</f>
        <v>39734930.188499995</v>
      </c>
      <c r="F12" s="400">
        <f>IFERROR(SUM(C$12:E$12)+C$17*MAX(0,E$50-C$50)+D$17*MAX(0,E$50-D$50),0)</f>
        <v>73334106.319799989</v>
      </c>
      <c r="G12" s="447"/>
      <c r="H12" s="399">
        <f>SUM(H$6:H$7)+IF(AND(OR('Company Information'!$C$12="District of Columbia",'Company Information'!$C$12="Massachusetts",'Company Information'!$C$12="Vermont"),SUM($H$6:$K$11,$H$15:$K$16,$H$38:$I$38)&lt;&gt;0),SUM(C$6:C$7),0)</f>
        <v>35270934.089232251</v>
      </c>
      <c r="I12" s="400">
        <f>SUM(I$6:I$7) - SUM(I$10:I$11)+IF(AND(OR('Company Information'!$C$12="District of Columbia",'Company Information'!$C$12="Massachusetts",'Company Information'!$C$12="Vermont"),SUM($H$6:$K$11,$H$15:$K$16,$H$38:$I$38)&lt;&gt;0),SUM(D$6:D$7) - SUM(D$8:D$11),0)</f>
        <v>33816517.968457378</v>
      </c>
      <c r="J12" s="400">
        <f>SUM(J$6:J$7)-SUM(J$10:J$11)+IF(AND(OR('Company Information'!$C$12="District of Columbia",'Company Information'!$C$12="Massachusetts",'Company Information'!$C$12="Vermont"),SUM($H$6:$K$11,$H$15:$K$16,$H$38:$I$38)&lt;&gt;0),SUM(E$6:E$7)-SUM(E$8:E$11),0)</f>
        <v>40844033.100975536</v>
      </c>
      <c r="K12" s="400">
        <f>IFERROR(SUM(H$12:J$12)+H$17*MAX(0,J$50-H$50)+I$17*MAX(0,J$50-I$50),0)</f>
        <v>109931485.15866518</v>
      </c>
      <c r="L12" s="447"/>
      <c r="M12" s="399">
        <f>SUM(M$6:M$7)</f>
        <v>21335560.825658366</v>
      </c>
      <c r="N12" s="400">
        <f>SUM(N$6:N$7)</f>
        <v>15452878.300257925</v>
      </c>
      <c r="O12" s="400">
        <f>SUM(O$6:O$7)</f>
        <v>13334807.715310736</v>
      </c>
      <c r="P12" s="400">
        <f>SUM(M$12:O$12)+M$17*MAX(0,O$50-M$50)+N$17*MAX(0,O$50-N$50)</f>
        <v>50123246.841227025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10025868.83</v>
      </c>
      <c r="D15" s="403">
        <v>35162901.490000002</v>
      </c>
      <c r="E15" s="395">
        <f>SUM('Pt 1 Summary of Data'!E$5:E$7)+SUM('Pt 1 Summary of Data'!G$5:G$7)-SUM('Pt 1 Summary of Data'!H$5:H$7)-SUM(E$9:E$11)</f>
        <v>36106031.460000001</v>
      </c>
      <c r="F15" s="395">
        <f>SUM(C15:E15)</f>
        <v>81294801.780000001</v>
      </c>
      <c r="G15" s="396">
        <f>SUM('Pt 1 Summary of Data'!I$5:I$7)-SUM(G$9:G$10)</f>
        <v>0</v>
      </c>
      <c r="H15" s="402">
        <v>44740497.060000002</v>
      </c>
      <c r="I15" s="403">
        <v>49126721.759999998</v>
      </c>
      <c r="J15" s="395">
        <f>SUM('Pt 1 Summary of Data'!K$5:K$7)+SUM('Pt 1 Summary of Data'!M$5:M$7)-SUM('Pt 1 Summary of Data'!N$5:N$7)-SUM(J$10:J$11)</f>
        <v>54135505.8036009</v>
      </c>
      <c r="K15" s="395">
        <f>SUM(H15:J15)</f>
        <v>148002724.6236009</v>
      </c>
      <c r="L15" s="396">
        <f>SUM('Pt 1 Summary of Data'!O$5:O$7)-L$10</f>
        <v>0</v>
      </c>
      <c r="M15" s="402">
        <v>25291423.859999999</v>
      </c>
      <c r="N15" s="403">
        <v>22004311.440000001</v>
      </c>
      <c r="O15" s="395">
        <f>SUM('Pt 1 Summary of Data'!Q$5:Q$7)+SUM('Pt 1 Summary of Data'!S$5:S$7)-SUM('Pt 1 Summary of Data'!T$5:T$7)+N$56</f>
        <v>15991254.502166299</v>
      </c>
      <c r="P15" s="395">
        <f>SUM(M15:O15)</f>
        <v>63286989.802166298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44884.81</v>
      </c>
      <c r="D16" s="398">
        <v>2264663.98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398804.8166578174</v>
      </c>
      <c r="F16" s="400">
        <f>SUM(C16:E16)</f>
        <v>2708353.6066578175</v>
      </c>
      <c r="G16" s="401">
        <f>SUM('Pt 1 Summary of Data'!I$25:I$28,'Pt 1 Summary of Data'!I$30,'Pt 1 Summary of Data'!I$34:I$35)+IF('Company Information'!$C$15="No",IF(MAX('Pt 1 Summary of Data'!I$31:I$32)=0,MIN('Pt 1 Summary of Data'!I$31:I$32),MAX('Pt 1 Summary of Data'!I$31:I$32)),SUM('Pt 1 Summary of Data'!I$31:I$32))</f>
        <v>0</v>
      </c>
      <c r="H16" s="397">
        <v>1640026.15</v>
      </c>
      <c r="I16" s="398">
        <v>4485230.92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5168406.2616233593</v>
      </c>
      <c r="K16" s="400">
        <f>SUM(H16:J16)</f>
        <v>11293663.331623361</v>
      </c>
      <c r="L16" s="401">
        <f>SUM('Pt 1 Summary of Data'!O$25:O$28,'Pt 1 Summary of Data'!O$30,'Pt 1 Summary of Data'!O$34:O$35)+IF('Company Information'!$C$15="No",IF(MAX('Pt 1 Summary of Data'!O$31:O$32)=0,MIN('Pt 1 Summary of Data'!O$31:O$32),MAX('Pt 1 Summary of Data'!O$31:O$32)),SUM('Pt 1 Summary of Data'!O$31:O$32))</f>
        <v>0</v>
      </c>
      <c r="M16" s="397">
        <v>549679.18000000005</v>
      </c>
      <c r="N16" s="398">
        <v>1624134.65</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-117390.42150482154</v>
      </c>
      <c r="P16" s="400">
        <f>SUM(M16:O16)</f>
        <v>2056423.4084951784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9980984.0199999996</v>
      </c>
      <c r="D17" s="400">
        <f>D$15-D$16+IF(AND(OR('Company Information'!$C$12="District of Columbia",'Company Information'!$C$12="Massachusetts",'Company Information'!$C$12="Vermont"),SUM($C$6:$F$11,$C$15:$F$16,$C$38:$D$38)&lt;&gt;0),I$15-I$16,0)</f>
        <v>32898237.510000002</v>
      </c>
      <c r="E17" s="400">
        <f>E$15-E$16+IF(AND(OR('Company Information'!$C$12="District of Columbia",'Company Information'!$C$12="Massachusetts",'Company Information'!$C$12="Vermont"),SUM($C$6:$F$11,$C$15:$F$16,$C$38:$D$38)&lt;&gt;0),J$15-J$16,0)</f>
        <v>35707226.643342182</v>
      </c>
      <c r="F17" s="400">
        <f>F$15-F$16+IF(AND(OR('Company Information'!$C$12="District of Columbia",'Company Information'!$C$12="Massachusetts",'Company Information'!$C$12="Vermont"),SUM($C$6:$F$11,$C$15:$F$16,$C$38:$D$38)&lt;&gt;0),K$15-K$16,0)</f>
        <v>78586448.173342183</v>
      </c>
      <c r="G17" s="450"/>
      <c r="H17" s="399">
        <f>H$15-H$16+IF(AND(OR('Company Information'!$C$12="District of Columbia",'Company Information'!$C$12="Massachusetts",'Company Information'!$C$12="Vermont"),SUM($H$6:$K$11,$H$15:$K$16,$H$38:$I$38)&lt;&gt;0),C$15-C$16,0)</f>
        <v>43100470.910000004</v>
      </c>
      <c r="I17" s="400">
        <f>I$15-I$16+IF(AND(OR('Company Information'!$C$12="District of Columbia",'Company Information'!$C$12="Massachusetts",'Company Information'!$C$12="Vermont"),SUM($H$6:$K$11,$H$15:$K$16,$H$38:$I$38)&lt;&gt;0),D$15-D$16,0)</f>
        <v>44641490.839999996</v>
      </c>
      <c r="J17" s="400">
        <f>J$15-J$16+IF(AND(OR('Company Information'!$C$12="District of Columbia",'Company Information'!$C$12="Massachusetts",'Company Information'!$C$12="Vermont"),SUM($H$6:$K$11,$H$15:$K$16,$H$38:$I$38)&lt;&gt;0),E$15-E$16,0)</f>
        <v>48967099.54197754</v>
      </c>
      <c r="K17" s="400">
        <f>K$15-K$16+IF(AND(OR('Company Information'!$C$12="District of Columbia",'Company Information'!$C$12="Massachusetts",'Company Information'!$C$12="Vermont"),SUM($H$6:$K$11,$H$15:$K$16,$H$38:$I$38)&lt;&gt;0),F$15-F$16,0)</f>
        <v>136709061.29197752</v>
      </c>
      <c r="L17" s="450"/>
      <c r="M17" s="399">
        <f>M$15-M$16</f>
        <v>24741744.68</v>
      </c>
      <c r="N17" s="400">
        <f>N$15-N$16</f>
        <v>20380176.790000003</v>
      </c>
      <c r="O17" s="400">
        <f>O$15-O$16</f>
        <v>16108644.923671121</v>
      </c>
      <c r="P17" s="400">
        <f>P$15-P$16</f>
        <v>61230566.393671118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4499</v>
      </c>
      <c r="D38" s="405">
        <v>9832.67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8771.5</v>
      </c>
      <c r="F38" s="432">
        <f>SUM(C$38:E$38)+IF(AND(OR('Company Information'!$C$12="District of Columbia",'Company Information'!$C$12="Massachusetts",'Company Information'!$C$12="Vermont"),SUM($C$6:$F$11,$C$15:$F$16,$C$38:$D$38)&lt;&gt;0,SUM(C$38:D$38)&lt;&gt;SUM(H$38:I$38)),SUM(H$38:I$38),0)</f>
        <v>23103.17</v>
      </c>
      <c r="G38" s="448"/>
      <c r="H38" s="404">
        <v>11175</v>
      </c>
      <c r="I38" s="405">
        <v>11941.67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12531.25</v>
      </c>
      <c r="K38" s="432">
        <f>SUM(H$38:J$38)+IF(AND(OR('Company Information'!$C$12="District of Columbia",'Company Information'!$C$12="Massachusetts",'Company Information'!$C$12="Vermont"),SUM($H$6:$K$11,$H$15:$K$16,$H$38:$I$38)&lt;&gt;0,SUM(H$38:I$38)&lt;&gt;SUM(C$38:D$38)),SUM(C$38:D$38),0)</f>
        <v>35647.919999999998</v>
      </c>
      <c r="L38" s="448"/>
      <c r="M38" s="404">
        <v>5264</v>
      </c>
      <c r="N38" s="405">
        <v>4119.25</v>
      </c>
      <c r="O38" s="432">
        <f>('Pt 1 Summary of Data'!Q$59+'Pt 1 Summary of Data'!S$59-'Pt 1 Summary of Data'!T$59)/12</f>
        <v>3104.5</v>
      </c>
      <c r="P38" s="432">
        <f>SUM(M$38:O$38)</f>
        <v>12487.75</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1.7264553333333335E-2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1.42963328E-2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2.4341499999999999E-2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8384</v>
      </c>
      <c r="G40" s="447"/>
      <c r="H40" s="443"/>
      <c r="I40" s="441"/>
      <c r="J40" s="441"/>
      <c r="K40" s="398">
        <v>2394</v>
      </c>
      <c r="L40" s="447"/>
      <c r="M40" s="443"/>
      <c r="N40" s="441"/>
      <c r="O40" s="441"/>
      <c r="P40" s="398">
        <v>1612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1.6280512</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2.8107576771797337E-2</v>
      </c>
      <c r="G42" s="447"/>
      <c r="H42" s="443"/>
      <c r="I42" s="441"/>
      <c r="J42" s="441"/>
      <c r="K42" s="436">
        <f ca="1">IF(OR(K$38&lt;1000,K$38&gt;=75000),0,K$39*K$41)</f>
        <v>1.42963328E-2</v>
      </c>
      <c r="L42" s="447"/>
      <c r="M42" s="443"/>
      <c r="N42" s="441"/>
      <c r="O42" s="441"/>
      <c r="P42" s="436">
        <f ca="1">IF(OR(P$38&lt;1000,P$38&gt;=75000),0,P$39*P$41)</f>
        <v>2.4341499999999999E-2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0.87627361901136469</v>
      </c>
      <c r="D45" s="436">
        <f>IF(OR(D$38&lt;1000,D$17&lt;=0),"",D$12/D$17)</f>
        <v>0.75545393990317744</v>
      </c>
      <c r="E45" s="436">
        <f>IF(OR(E$38&lt;1000,E$17&lt;=0),"",E$12/E$17)</f>
        <v>1.1127979942376398</v>
      </c>
      <c r="F45" s="436">
        <f>IF(OR(F$38&lt;1000,F$17&lt;=0),"",F$12/F$17)</f>
        <v>0.93316478889646681</v>
      </c>
      <c r="G45" s="447"/>
      <c r="H45" s="438">
        <f>IF(OR(H$38&lt;1000,H$17&lt;=0),"",H$12/H$17)</f>
        <v>0.81834219776584449</v>
      </c>
      <c r="I45" s="436">
        <f>IF(OR(I$38&lt;1000,I$17&lt;=0),"",I$12/I$17)</f>
        <v>0.75751318632389519</v>
      </c>
      <c r="J45" s="436">
        <f>IF(OR(J$38&lt;1000,J$17&lt;=0),"",J$12/J$17)</f>
        <v>0.8341117501958959</v>
      </c>
      <c r="K45" s="436">
        <f>IF(OR(K$38&lt;1000,K$17&lt;=0),"",K$12/K$17)</f>
        <v>0.80412727671268325</v>
      </c>
      <c r="L45" s="447"/>
      <c r="M45" s="438">
        <f>IF(OR(M$38&lt;1000,M$17&lt;=0),"",M$12/M$17)</f>
        <v>0.86233049049709809</v>
      </c>
      <c r="N45" s="436">
        <f>IF(OR(N$38&lt;1000,N$17&lt;=0),"",N$12/N$17)</f>
        <v>0.75823082692002119</v>
      </c>
      <c r="O45" s="436">
        <f>IF(OR(O$38&lt;1000,O$17&lt;=0),"",O$12/O$17)</f>
        <v>0.82780443535108761</v>
      </c>
      <c r="P45" s="436">
        <f>IF(OR(P$38&lt;1000,P$17&lt;=0),"",P$12/P$17)</f>
        <v>0.81859845161268729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2.8107576771797337E-2</v>
      </c>
      <c r="G47" s="447"/>
      <c r="H47" s="443"/>
      <c r="I47" s="441"/>
      <c r="J47" s="441"/>
      <c r="K47" s="436">
        <f ca="1">IF(K$45="","",K$42)</f>
        <v>1.42963328E-2</v>
      </c>
      <c r="L47" s="447"/>
      <c r="M47" s="443"/>
      <c r="N47" s="441"/>
      <c r="O47" s="441"/>
      <c r="P47" s="436">
        <f ca="1">IF(P$45="","",P$42)</f>
        <v>2.4341499999999999E-2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0.96099999999999997</v>
      </c>
      <c r="G48" s="447"/>
      <c r="H48" s="443"/>
      <c r="I48" s="441"/>
      <c r="J48" s="441"/>
      <c r="K48" s="436">
        <f ca="1">IF(K$45="","",ROUND(K$45+MAX(0,K$47),3))</f>
        <v>0.81799999999999995</v>
      </c>
      <c r="L48" s="447"/>
      <c r="M48" s="443"/>
      <c r="N48" s="441"/>
      <c r="O48" s="441"/>
      <c r="P48" s="436">
        <f ca="1">IF(P$45="","",ROUND(P$45+MAX(0,P$47),3))</f>
        <v>0.84299999999999997</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0.96099999999999997</v>
      </c>
      <c r="G51" s="447"/>
      <c r="H51" s="444"/>
      <c r="I51" s="442"/>
      <c r="J51" s="442"/>
      <c r="K51" s="436">
        <f ca="1">K$48</f>
        <v>0.81799999999999995</v>
      </c>
      <c r="L51" s="447"/>
      <c r="M51" s="444"/>
      <c r="N51" s="442"/>
      <c r="O51" s="442"/>
      <c r="P51" s="436">
        <f ca="1">P$48</f>
        <v>0.84299999999999997</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35707226.643342182</v>
      </c>
      <c r="G52" s="447"/>
      <c r="H52" s="443"/>
      <c r="I52" s="441"/>
      <c r="J52" s="441"/>
      <c r="K52" s="400">
        <f>IF(K$38&lt;1000,"",MAX(0,J$15-J$16))</f>
        <v>48967099.54197754</v>
      </c>
      <c r="L52" s="447"/>
      <c r="M52" s="443"/>
      <c r="N52" s="441"/>
      <c r="O52" s="441"/>
      <c r="P52" s="400">
        <f>IF(P$38&lt;1000,"",MAX(0,O$15-O$16))</f>
        <v>16108644.923671121</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112760.51446569794</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117114.8361</v>
      </c>
      <c r="D56" s="441"/>
      <c r="E56" s="441"/>
      <c r="F56" s="441"/>
      <c r="G56" s="447"/>
      <c r="H56" s="397">
        <v>296001.60690000001</v>
      </c>
      <c r="I56" s="441"/>
      <c r="J56" s="441"/>
      <c r="K56" s="441"/>
      <c r="L56" s="447"/>
      <c r="M56" s="397">
        <v>138619.39369999999</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522.1929662</v>
      </c>
      <c r="D57" s="441"/>
      <c r="E57" s="441"/>
      <c r="F57" s="441"/>
      <c r="G57" s="447"/>
      <c r="H57" s="397">
        <v>10804.121940000001</v>
      </c>
      <c r="I57" s="441"/>
      <c r="J57" s="441"/>
      <c r="K57" s="441"/>
      <c r="L57" s="447"/>
      <c r="M57" s="397">
        <v>3002.0359640000001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4465</v>
      </c>
      <c r="D4" s="104">
        <f>'Pt 1 Summary of Data'!$K$56+'Pt 1 Summary of Data'!$M$56-'Pt 1 Summary of Data'!$N$56</f>
        <v>8219</v>
      </c>
      <c r="E4" s="104">
        <f>'Pt 1 Summary of Data'!$Q$56+'Pt 1 Summary of Data'!$S$56-'Pt 1 Summary of Data'!$T$56</f>
        <v>1324</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22</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1</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112760.51446569794</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112760.51</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131592.95000000001</v>
      </c>
      <c r="D16" s="99">
        <v>223207.45</v>
      </c>
      <c r="E16" s="99">
        <v>81520.710000000006</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11548.94</v>
      </c>
      <c r="D22" s="127">
        <v>11539.14</v>
      </c>
      <c r="E22" s="127">
        <v>4871.8500000000004</v>
      </c>
      <c r="F22" s="127"/>
      <c r="G22" s="127"/>
      <c r="H22" s="127"/>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6" t="s">
        <v>509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838" yWindow="44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