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T15" i="10"/>
  <c r="S15" i="10"/>
  <c r="P15" i="10"/>
  <c r="O15" i="10"/>
  <c r="L15" i="10"/>
  <c r="AB13" i="10"/>
  <c r="AA13" i="10"/>
  <c r="Z13" i="10"/>
  <c r="Y13" i="10"/>
  <c r="U13" i="10"/>
  <c r="S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B55" i="18"/>
  <c r="AB22" i="4" s="1"/>
  <c r="AA55" i="18"/>
  <c r="AA22" i="4" s="1"/>
  <c r="Z55" i="18"/>
  <c r="Y55" i="18"/>
  <c r="Y22" i="4" s="1"/>
  <c r="X55" i="18"/>
  <c r="X22" i="4" s="1"/>
  <c r="W55" i="18"/>
  <c r="W22" i="4" s="1"/>
  <c r="V55" i="18"/>
  <c r="U55" i="18"/>
  <c r="U22" i="4" s="1"/>
  <c r="T55" i="18"/>
  <c r="T22" i="4" s="1"/>
  <c r="S55" i="18"/>
  <c r="R55" i="18"/>
  <c r="R22" i="4" s="1"/>
  <c r="Q55" i="18"/>
  <c r="Q22" i="4" s="1"/>
  <c r="P55" i="18"/>
  <c r="P22" i="4" s="1"/>
  <c r="O55" i="18"/>
  <c r="N55" i="18"/>
  <c r="N22" i="4" s="1"/>
  <c r="M55" i="18"/>
  <c r="M22" i="4" s="1"/>
  <c r="L55" i="18"/>
  <c r="K55" i="18"/>
  <c r="J55" i="18"/>
  <c r="I55" i="18"/>
  <c r="H55" i="18"/>
  <c r="G55" i="18"/>
  <c r="F55" i="18"/>
  <c r="F22" i="4" s="1"/>
  <c r="E55" i="18"/>
  <c r="D55" i="18"/>
  <c r="AU54" i="18"/>
  <c r="AT54" i="18"/>
  <c r="AS54" i="18"/>
  <c r="AC54" i="18"/>
  <c r="AB54" i="18"/>
  <c r="AA54" i="18"/>
  <c r="Z54" i="18"/>
  <c r="Y54" i="18"/>
  <c r="Y12" i="4" s="1"/>
  <c r="X54" i="18"/>
  <c r="X12" i="4" s="1"/>
  <c r="W54" i="18"/>
  <c r="W12" i="4" s="1"/>
  <c r="V54" i="18"/>
  <c r="U54" i="18"/>
  <c r="U12" i="4" s="1"/>
  <c r="T54" i="18"/>
  <c r="S54" i="18"/>
  <c r="R54" i="18"/>
  <c r="Q54" i="18"/>
  <c r="P54" i="18"/>
  <c r="O54" i="18"/>
  <c r="N54" i="18"/>
  <c r="M54" i="18"/>
  <c r="L54" i="18"/>
  <c r="K54" i="18"/>
  <c r="J54" i="18"/>
  <c r="I54" i="18"/>
  <c r="H54" i="18"/>
  <c r="H12" i="4" s="1"/>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Z22" i="4"/>
  <c r="V22" i="4"/>
  <c r="S22" i="4"/>
  <c r="O22" i="4"/>
  <c r="L22" i="4"/>
  <c r="K22" i="4"/>
  <c r="J22" i="4"/>
  <c r="I22" i="4"/>
  <c r="H22" i="4"/>
  <c r="G22" i="4"/>
  <c r="E22" i="4"/>
  <c r="D22" i="4"/>
  <c r="AU12" i="4"/>
  <c r="AT12" i="4"/>
  <c r="AS12" i="4"/>
  <c r="AC12" i="4"/>
  <c r="AB12" i="4"/>
  <c r="AA12" i="4"/>
  <c r="Z12" i="4"/>
  <c r="V12" i="4"/>
  <c r="T12" i="4"/>
  <c r="S12" i="4"/>
  <c r="R12" i="4"/>
  <c r="Q12" i="4"/>
  <c r="P12" i="4"/>
  <c r="O12" i="4"/>
  <c r="N12" i="4"/>
  <c r="M12" i="4"/>
  <c r="L12" i="4"/>
  <c r="K12" i="4"/>
  <c r="J12" i="4"/>
  <c r="I12" i="4"/>
  <c r="G12" i="4"/>
  <c r="F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J15" i="10" l="1"/>
  <c r="K15" i="10" s="1"/>
  <c r="F15" i="10"/>
  <c r="G20" i="10"/>
  <c r="E7" i="10"/>
  <c r="J7" i="10"/>
  <c r="G15" i="10"/>
  <c r="G32" i="10" s="1"/>
  <c r="P47" i="10"/>
  <c r="G27" i="10"/>
  <c r="G24" i="10"/>
  <c r="AB39" i="10"/>
  <c r="L29" i="10"/>
  <c r="L33" i="10" s="1"/>
  <c r="L34" i="10" s="1"/>
  <c r="L21" i="10"/>
  <c r="L26" i="10" s="1"/>
  <c r="L25" i="10" s="1"/>
  <c r="L28" i="10" s="1"/>
  <c r="W13" i="10"/>
  <c r="T13" i="10"/>
  <c r="Q13" i="10"/>
  <c r="V13" i="10"/>
  <c r="X13" i="10"/>
  <c r="G23" i="10" l="1"/>
  <c r="G19" i="10"/>
  <c r="G22" i="10" s="1"/>
  <c r="G30" i="10" s="1"/>
  <c r="G31" i="10" s="1"/>
  <c r="G29" i="10" s="1"/>
  <c r="G33" i="10" s="1"/>
  <c r="G34" i="10" s="1"/>
  <c r="K7" i="10"/>
  <c r="I17" i="10" s="1"/>
  <c r="I45" i="10" s="1"/>
  <c r="J17" i="10"/>
  <c r="F7" i="10"/>
  <c r="E38" i="10" s="1"/>
  <c r="D17" i="10"/>
  <c r="D45" i="10" s="1"/>
  <c r="G21" i="10"/>
  <c r="G26" i="10" s="1"/>
  <c r="G25" i="10" s="1"/>
  <c r="G28" i="10" s="1"/>
  <c r="E17" i="10"/>
  <c r="C17" i="10" l="1"/>
  <c r="H17" i="10"/>
  <c r="H45" i="10" s="1"/>
  <c r="K17" i="10"/>
  <c r="F17" i="10"/>
  <c r="J38" i="10"/>
  <c r="F38" i="10"/>
  <c r="E45" i="10"/>
  <c r="C12" i="10"/>
  <c r="D12" i="10"/>
  <c r="C45" i="10"/>
  <c r="J45" i="10"/>
  <c r="K38" i="10"/>
  <c r="E12" i="10"/>
  <c r="J12" i="10"/>
  <c r="H12" i="10"/>
  <c r="I12" i="10"/>
  <c r="F12" i="10" l="1"/>
  <c r="K12" i="10"/>
  <c r="K53" i="10"/>
  <c r="D11" i="16" s="1"/>
  <c r="K39" i="10"/>
  <c r="K45" i="10"/>
  <c r="K42" i="10"/>
  <c r="K52" i="10"/>
  <c r="F52" i="10"/>
  <c r="F53" i="10"/>
  <c r="C11" i="16" s="1"/>
  <c r="F45" i="10"/>
  <c r="F39" i="10"/>
  <c r="F42" i="10"/>
  <c r="F47" i="10" l="1"/>
  <c r="F48" i="10"/>
  <c r="F51" i="10" s="1"/>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<sst xmlns="http://schemas.openxmlformats.org/spreadsheetml/2006/main" count="568" uniqueCount="507">
  <si>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</si>
  <si>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</si>
  <si>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</si>
  <si>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</si>
  <si>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</si>
  <si>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</si>
  <si>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</si>
  <si>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</si>
  <si>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</si>
  <si>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</si>
  <si>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</si>
  <si>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</si>
  <si>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</si>
  <si>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</si>
  <si>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</si>
  <si>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</si>
  <si>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</si>
  <si>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</si>
  <si>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</si>
  <si>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</si>
  <si>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</si>
  <si>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</si>
  <si>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</si>
  <si>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</si>
  <si>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</si>
  <si>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</si>
  <si>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</si>
  <si>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</si>
  <si>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</si>
  <si>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</si>
  <si>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</si>
  <si>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</si>
  <si>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</si>
  <si>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</si>
  <si>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</si>
  <si>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</si>
  <si>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</si>
  <si>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</si>
  <si>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</si>
  <si>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</si>
  <si>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</si>
  <si>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</si>
  <si>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</si>
  <si>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</si>
  <si>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</si>
  <si>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</si>
  <si>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</si>
  <si>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</si>
  <si>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</si>
  <si>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</si>
  <si>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</si>
  <si>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</si>
  <si>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</si>
  <si>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</si>
  <si>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</si>
  <si>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</si>
  <si>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</si>
  <si>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</si>
  <si>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</si>
  <si>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</si>
  <si>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</si>
  <si>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</si>
  <si>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</si>
  <si>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</si>
  <si>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</si>
  <si>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</si>
  <si>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</si>
  <si>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</si>
  <si>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</si>
  <si>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</si>
  <si>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</si>
  <si>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</si>
  <si>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</si>
  <si>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</si>
  <si>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</si>
  <si>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</si>
  <si>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</si>
  <si>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</si>
  <si>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</si>
  <si>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</si>
  <si>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</si>
  <si>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</si>
  <si>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</si>
  <si>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</si>
  <si>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</si>
  <si>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</si>
  <si>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</si>
  <si>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</si>
  <si>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</si>
  <si>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</si>
  <si>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</si>
  <si>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</si>
  <si>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</si>
  <si>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</si>
  <si>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</si>
  <si>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</si>
  <si>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</si>
  <si>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</si>
  <si>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</si>
  <si>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</si>
  <si>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</si>
  <si>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</si>
  <si>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</si>
  <si>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</si>
  <si>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</si>
  <si>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</si>
  <si>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</si>
  <si>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</si>
  <si>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</si>
  <si>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</si>
  <si>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</si>
  <si>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</si>
  <si>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</si>
  <si>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</si>
  <si>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</si>
  <si>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</si>
  <si>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</si>
  <si>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</si>
  <si>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</si>
  <si>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</si>
  <si>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</si>
  <si>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</si>
  <si>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</si>
  <si>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</si>
  <si>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</si>
  <si>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</si>
  <si>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</si>
  <si>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</si>
  <si>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</si>
  <si>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</si>
  <si>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</si>
  <si>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</si>
  <si>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</si>
  <si>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</si>
  <si>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</si>
  <si>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</si>
  <si>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</si>
  <si>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</si>
  <si>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</si>
  <si>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</si>
  <si>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</si>
  <si>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</si>
  <si>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</si>
  <si>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</si>
  <si>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</si>
  <si>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</si>
  <si>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</si>
  <si>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</si>
  <si>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</si>
  <si>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</si>
  <si>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</si>
  <si>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</si>
  <si>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</si>
  <si>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</si>
  <si>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</si>
  <si>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</si>
  <si>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</si>
  <si>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</si>
  <si>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</si>
  <si>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</si>
  <si>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</si>
  <si>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</si>
  <si>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</si>
  <si>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</si>
  <si>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</si>
  <si>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</si>
  <si>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</si>
  <si>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</si>
  <si>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</si>
  <si>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</si>
  <si>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</si>
  <si>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</si>
  <si>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</si>
  <si>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</si>
  <si>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</si>
  <si>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</si>
  <si>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</si>
  <si>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</si>
  <si>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</si>
  <si>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</si>
  <si>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</si>
  <si>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</si>
  <si>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</si>
  <si>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</si>
  <si>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</si>
  <si>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</si>
  <si>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</si>
  <si>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</si>
  <si>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</si>
  <si>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</si>
  <si>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</si>
  <si>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</si>
  <si>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</si>
  <si>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</si>
  <si>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</si>
  <si>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</si>
  <si>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</si>
  <si>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</si>
  <si>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</si>
  <si>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</si>
  <si>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</si>
  <si>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</si>
  <si>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</si>
  <si>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</si>
  <si>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</si>
  <si>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</si>
  <si>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</si>
  <si>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</si>
  <si>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</si>
  <si>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</si>
  <si>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</si>
  <si>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</si>
  <si>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</si>
  <si>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</si>
  <si>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</si>
  <si>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</si>
  <si>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</si>
  <si>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</si>
  <si>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</si>
  <si>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</si>
  <si>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</si>
  <si>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</si>
  <si>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</si>
  <si>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</si>
  <si>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</si>
  <si>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</si>
  <si>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</si>
  <si>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</si>
  <si>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</si>
  <si>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</si>
  <si>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</si>
  <si>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</si>
  <si>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</si>
  <si>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</si>
  <si>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</si>
  <si>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</si>
  <si>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</si>
  <si>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</si>
  <si>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</si>
  <si>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</si>
  <si>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</si>
  <si>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</si>
  <si>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</si>
  <si>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</si>
  <si>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</si>
  <si>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</si>
  <si>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</si>
  <si>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</si>
  <si>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</si>
  <si>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</si>
  <si>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</si>
  <si>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</si>
  <si>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</si>
  <si>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</si>
  <si>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</si>
  <si>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</si>
  <si>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</si>
  <si>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</si>
  <si>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</si>
  <si>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</si>
  <si>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</si>
  <si>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</si>
  <si>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</si>
  <si>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</si>
  <si>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</si>
  <si>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</si>
  <si>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</si>
  <si>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</si>
  <si>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</si>
  <si>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</si>
  <si>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</si>
  <si>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</si>
  <si>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</si>
  <si>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</si>
  <si>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</si>
  <si>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</si>
  <si>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</si>
  <si>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</si>
  <si>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</si>
  <si>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</si>
  <si>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</si>
  <si>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</si>
  <si>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</si>
  <si>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</si>
  <si>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</si>
  <si>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</si>
  <si>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</si>
  <si>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</si>
  <si>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</si>
  <si>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</si>
  <si>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</si>
  <si>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</si>
  <si>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</si>
  <si>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</si>
  <si>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</si>
  <si>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</si>
  <si>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</si>
  <si>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</si>
  <si>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</si>
  <si>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</si>
  <si>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</si>
  <si>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</si>
  <si>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</si>
  <si>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</si>
  <si>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</si>
  <si>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</si>
  <si>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</si>
  <si>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</si>
  <si>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</si>
  <si>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</si>
  <si>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</si>
  <si>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</si>
  <si>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</si>
  <si>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</si>
  <si>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</si>
  <si>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</si>
  <si>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</si>
  <si>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</si>
  <si>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</si>
  <si>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</si>
  <si>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</si>
  <si>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</si>
  <si>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</si>
  <si>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</si>
  <si>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</si>
  <si>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</si>
  <si>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</si>
  <si>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</si>
  <si>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</si>
  <si>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</si>
  <si>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</si>
  <si>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</si>
  <si>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</si>
  <si>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</si>
  <si>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</si>
  <si>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</si>
  <si>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</si>
  <si>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</si>
  <si>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</si>
  <si>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</si>
  <si>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</si>
  <si>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</si>
  <si>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</si>
  <si>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</si>
  <si>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</si>
  <si>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</si>
  <si>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</si>
  <si>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</si>
  <si>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</si>
  <si>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</si>
  <si>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</si>
  <si>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</si>
  <si>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</si>
  <si>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</si>
  <si>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</si>
  <si>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</si>
  <si>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</si>
  <si>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</si>
  <si>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</si>
  <si>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</si>
  <si>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</si>
  <si>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</si>
  <si>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</si>
  <si>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</si>
  <si>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</si>
  <si>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</si>
  <si>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</si>
  <si>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</si>
  <si>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</si>
  <si>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</si>
  <si>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</si>
  <si>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</si>
  <si>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</si>
  <si>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</si>
  <si>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</si>
  <si>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</si>
  <si>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</si>
  <si>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</si>
  <si>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</si>
  <si>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</si>
  <si>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</si>
  <si>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</si>
  <si>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</si>
  <si>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</si>
  <si>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</si>
  <si>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</si>
  <si>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</si>
  <si>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</si>
  <si>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</si>
  <si>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</si>
  <si>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</si>
  <si>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</si>
  <si>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</si>
  <si>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</si>
  <si>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</si>
  <si>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</si>
  <si>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</si>
  <si>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</si>
  <si>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</si>
  <si>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</si>
  <si>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</si>
  <si>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</si>
  <si>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</si>
  <si>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</si>
  <si>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</si>
  <si>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</si>
  <si>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</si>
  <si>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</si>
  <si>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</si>
  <si>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</si>
  <si>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</si>
  <si>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</si>
  <si>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</si>
  <si>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</si>
  <si>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</si>
  <si>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</si>
  <si>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</si>
  <si>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</si>
  <si>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</si>
  <si>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</si>
  <si>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</si>
  <si>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</si>
  <si>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</si>
  <si>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</si>
  <si>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</si>
  <si>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</si>
  <si>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</si>
  <si>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</si>
  <si>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</si>
  <si>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</si>
  <si>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</si>
  <si>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</si>
  <si>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</si>
  <si>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</si>
  <si>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</si>
  <si>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</si>
  <si>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</si>
  <si>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</si>
  <si>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</si>
  <si>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</si>
  <si>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</si>
  <si>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</si>
  <si>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</si>
  <si>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</si>
  <si>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</si>
  <si>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</si>
  <si>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</si>
  <si>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</si>
  <si>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</si>
  <si>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</si>
  <si>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</si>
  <si>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</si>
  <si>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</si>
  <si>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</si>
  <si>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</si>
  <si>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</si>
  <si>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</si>
  <si>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</si>
  <si>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</si>
  <si>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</si>
  <si>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</si>
  <si>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</si>
  <si>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</si>
  <si>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</si>
  <si>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</si>
  <si>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</si>
  <si>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</si>
  <si>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</si>
  <si>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</si>
  <si>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</si>
  <si>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</si>
  <si>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</si>
  <si>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</si>
  <si>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</si>
  <si>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</si>
  <si>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</si>
  <si>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</si>
  <si>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</si>
  <si>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</si>
  <si>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</si>
  <si>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</si>
  <si>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</si>
  <si>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</si>
  <si>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</si>
  <si>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</si>
  <si>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</si>
  <si>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</si>
  <si>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</si>
  <si>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</si>
  <si>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</si>
  <si>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</si>
  <si>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</si>
  <si>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</si>
  <si>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</si>
  <si>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</si>
  <si>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</si>
  <si>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</si>
  <si>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</si>
  <si>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</si>
  <si>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</si>
  <si>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</si>
  <si>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</si>
  <si>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</si>
  <si>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</si>
  <si>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</si>
  <si>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72322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</si>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</sst>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163</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7548</v>
      </c>
      <c r="E5" s="213">
        <f>SUM('Pt 2 Premium and Claims'!E$5,'Pt 2 Premium and Claims'!E$6,-'Pt 2 Premium and Claims'!E$7,-'Pt 2 Premium and Claims'!E$13,'Pt 2 Premium and Claims'!E$14:'Pt 2 Premium and Claims'!E$17)</f>
        <v>7508.65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2311238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3994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13057</v>
      </c>
      <c r="E12" s="213">
        <f>'Pt 2 Premium and Claims'!E$54</f>
        <v>11045.589599999999</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1793373</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17204</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-25422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-39474.85</v>
      </c>
      <c r="E25" s="217">
        <v>-39474.85</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-83928.12</v>
      </c>
      <c r="AU25" s="220"/>
      <c r="AV25" s="220"/>
      <c r="AW25" s="297"/>
    </row>
    <row r="26" spans="1:49" s="5" customFormat="1" x14ac:dyDescent="0.2">
      <c r="A26" s="35"/>
      <c r="B26" s="242" t="s">
        <v>242</v>
      </c>
      <c r="C26" s="203"/>
      <c r="D26" s="216">
        <v>4.74</v>
      </c>
      <c r="E26" s="217">
        <v>4.74</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146.46</v>
      </c>
      <c r="E27" s="217">
        <v>146.46</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15205.6</v>
      </c>
      <c r="AU27" s="220"/>
      <c r="AV27" s="293"/>
      <c r="AW27" s="297"/>
    </row>
    <row r="28" spans="1:49" s="5" customFormat="1" x14ac:dyDescent="0.2">
      <c r="A28" s="35"/>
      <c r="B28" s="242" t="s">
        <v>244</v>
      </c>
      <c r="C28" s="203"/>
      <c r="D28" s="216">
        <v>811.04</v>
      </c>
      <c r="E28" s="217">
        <v>811.04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9145.4699999999993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-3066.86</v>
      </c>
      <c r="E30" s="217">
        <v>-3066.86</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-5461.26</v>
      </c>
      <c r="AU30" s="220"/>
      <c r="AV30" s="220"/>
      <c r="AW30" s="297"/>
    </row>
    <row r="31" spans="1:49" x14ac:dyDescent="0.2">
      <c r="B31" s="242" t="s">
        <v>247</v>
      </c>
      <c r="C31" s="203"/>
      <c r="D31" s="216">
        <v>753.7</v>
      </c>
      <c r="E31" s="217">
        <v>753.7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52262.06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73.040000000000006</v>
      </c>
      <c r="E34" s="217">
        <v>73.040000000000006</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246.54</v>
      </c>
      <c r="E35" s="217">
        <v>246.54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2779.3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32132</v>
      </c>
      <c r="E37" s="225">
        <v>32132.13</v>
      </c>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162</v>
      </c>
      <c r="AU37" s="226">
        <v>0</v>
      </c>
      <c r="AV37" s="226">
        <v>0</v>
      </c>
      <c r="AW37" s="296"/>
    </row>
    <row r="38" spans="1:49" x14ac:dyDescent="0.2">
      <c r="B38" s="239" t="s">
        <v>254</v>
      </c>
      <c r="C38" s="203" t="s">
        <v>16</v>
      </c>
      <c r="D38" s="216">
        <v>37648</v>
      </c>
      <c r="E38" s="217">
        <v>37647.51</v>
      </c>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0</v>
      </c>
      <c r="AW38" s="297"/>
    </row>
    <row r="39" spans="1:49" x14ac:dyDescent="0.2">
      <c r="B39" s="242" t="s">
        <v>255</v>
      </c>
      <c r="C39" s="203" t="s">
        <v>17</v>
      </c>
      <c r="D39" s="216">
        <v>5582</v>
      </c>
      <c r="E39" s="217">
        <v>5581.76</v>
      </c>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406</v>
      </c>
      <c r="AU39" s="220">
        <v>0</v>
      </c>
      <c r="AV39" s="220">
        <v>0</v>
      </c>
      <c r="AW39" s="297"/>
    </row>
    <row r="40" spans="1:49" x14ac:dyDescent="0.2">
      <c r="B40" s="242" t="s">
        <v>256</v>
      </c>
      <c r="C40" s="203" t="s">
        <v>38</v>
      </c>
      <c r="D40" s="216">
        <v>22764</v>
      </c>
      <c r="E40" s="217">
        <v>22764.21</v>
      </c>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2281</v>
      </c>
      <c r="AU40" s="220">
        <v>0</v>
      </c>
      <c r="AV40" s="220">
        <v>0</v>
      </c>
      <c r="AW40" s="297"/>
    </row>
    <row r="41" spans="1:49" s="5" customFormat="1" ht="25.5" x14ac:dyDescent="0.2">
      <c r="A41" s="35"/>
      <c r="B41" s="242" t="s">
        <v>257</v>
      </c>
      <c r="C41" s="203" t="s">
        <v>129</v>
      </c>
      <c r="D41" s="216">
        <v>41</v>
      </c>
      <c r="E41" s="217">
        <v>40.880000000000003</v>
      </c>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5756</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6879</v>
      </c>
      <c r="E44" s="225">
        <v>6879.2</v>
      </c>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8062</v>
      </c>
      <c r="AU44" s="226">
        <v>0</v>
      </c>
      <c r="AV44" s="226">
        <v>0</v>
      </c>
      <c r="AW44" s="296"/>
    </row>
    <row r="45" spans="1:49" x14ac:dyDescent="0.2">
      <c r="B45" s="245" t="s">
        <v>261</v>
      </c>
      <c r="C45" s="203" t="s">
        <v>19</v>
      </c>
      <c r="D45" s="216">
        <v>21</v>
      </c>
      <c r="E45" s="217">
        <v>20.77</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56797</v>
      </c>
      <c r="AU45" s="220">
        <v>0</v>
      </c>
      <c r="AV45" s="220">
        <v>0</v>
      </c>
      <c r="AW45" s="297"/>
    </row>
    <row r="46" spans="1:49" x14ac:dyDescent="0.2">
      <c r="B46" s="245" t="s">
        <v>262</v>
      </c>
      <c r="C46" s="203" t="s">
        <v>20</v>
      </c>
      <c r="D46" s="216">
        <v>24</v>
      </c>
      <c r="E46" s="217">
        <v>24.4</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12994</v>
      </c>
      <c r="AU46" s="220">
        <v>0</v>
      </c>
      <c r="AV46" s="220">
        <v>0</v>
      </c>
      <c r="AW46" s="297"/>
    </row>
    <row r="47" spans="1:49" x14ac:dyDescent="0.2">
      <c r="B47" s="245" t="s">
        <v>263</v>
      </c>
      <c r="C47" s="203" t="s">
        <v>21</v>
      </c>
      <c r="D47" s="216">
        <v>302</v>
      </c>
      <c r="E47" s="217">
        <v>301.67</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760524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1119.55</v>
      </c>
      <c r="E49" s="217">
        <v>1119.55</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-2284.36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14110</v>
      </c>
      <c r="E51" s="217">
        <v>14110.22</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-34977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6040</v>
      </c>
      <c r="AU56" s="230">
        <v>0</v>
      </c>
      <c r="AV56" s="230">
        <v>0</v>
      </c>
      <c r="AW56" s="288"/>
    </row>
    <row r="57" spans="2:49" x14ac:dyDescent="0.2">
      <c r="B57" s="245" t="s">
        <v>272</v>
      </c>
      <c r="C57" s="203" t="s">
        <v>25</v>
      </c>
      <c r="D57" s="231">
        <v>1</v>
      </c>
      <c r="E57" s="232">
        <v>1</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9969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67</v>
      </c>
      <c r="AU58" s="233">
        <v>0</v>
      </c>
      <c r="AV58" s="233">
        <v>0</v>
      </c>
      <c r="AW58" s="289"/>
    </row>
    <row r="59" spans="2:49" x14ac:dyDescent="0.2">
      <c r="B59" s="245" t="s">
        <v>274</v>
      </c>
      <c r="C59" s="203" t="s">
        <v>27</v>
      </c>
      <c r="D59" s="231">
        <v>20</v>
      </c>
      <c r="E59" s="232">
        <v>20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117725</v>
      </c>
      <c r="AU59" s="233">
        <v>0</v>
      </c>
      <c r="AV59" s="233">
        <v>0</v>
      </c>
      <c r="AW59" s="289"/>
    </row>
    <row r="60" spans="2:49" x14ac:dyDescent="0.2">
      <c r="B60" s="245" t="s">
        <v>275</v>
      </c>
      <c r="C60" s="203"/>
      <c r="D60" s="234">
        <f t="shared" ref="D60:AC60" si="0">D$59/12</f>
        <v>1.6666666666666667</v>
      </c>
      <c r="E60" s="235">
        <f t="shared" si="0"/>
        <v>1.6666666666666667</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9810.4166666666661</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7548</v>
      </c>
      <c r="E5" s="326">
        <v>7508.65</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2311053</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12502</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12317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3994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15014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1985316</v>
      </c>
      <c r="AU23" s="321">
        <v>0</v>
      </c>
      <c r="AV23" s="368"/>
      <c r="AW23" s="374"/>
    </row>
    <row r="24" spans="2:49" ht="28.5" customHeight="1" x14ac:dyDescent="0.2">
      <c r="B24" s="345" t="s">
        <v>114</v>
      </c>
      <c r="C24" s="331"/>
      <c r="D24" s="365"/>
      <c r="E24" s="319">
        <v>10786.73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1394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259852</v>
      </c>
      <c r="AU26" s="321">
        <v>0</v>
      </c>
      <c r="AV26" s="368"/>
      <c r="AW26" s="374"/>
    </row>
    <row r="27" spans="2:49" s="5" customFormat="1" ht="25.5" x14ac:dyDescent="0.2">
      <c r="B27" s="345" t="s">
        <v>85</v>
      </c>
      <c r="C27" s="331"/>
      <c r="D27" s="365"/>
      <c r="E27" s="319">
        <v>258.8596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3455</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441827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76263</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86278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-104</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13</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13057</v>
      </c>
      <c r="E54" s="323">
        <f>E24+E27+E31+E35-E36+E39+E42+E45+E46-E49+E51+E52+E53</f>
        <v>11045.589599999999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1793373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9.89</v>
      </c>
      <c r="E56" s="319">
        <v>9.89</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22507.69</v>
      </c>
      <c r="D5" s="403">
        <v>32565.87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22474.081200000001</v>
      </c>
      <c r="D6" s="398">
        <v>32043.584500000001</v>
      </c>
      <c r="E6" s="400">
        <f>SUM('Pt 1 Summary of Data'!E$12,'Pt 1 Summary of Data'!E$22)+SUM('Pt 1 Summary of Data'!G$12,'Pt 1 Summary of Data'!G$22)-SUM('Pt 1 Summary of Data'!H$12,'Pt 1 Summary of Data'!H$22)</f>
        <v>11045.589599999999</v>
      </c>
      <c r="F6" s="400">
        <f t="shared" ref="F6:F11" si="0">SUM(C6:E6)</f>
        <v>65563.25529999999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255.04</v>
      </c>
      <c r="D7" s="398">
        <v>215.48</v>
      </c>
      <c r="E7" s="400">
        <f>SUM('Pt 1 Summary of Data'!E$37:E$41)+SUM('Pt 1 Summary of Data'!G$37:G$41)-SUM('Pt 1 Summary of Data'!H$37:H$41)+MAX(0,MIN('Pt 1 Summary of Data'!E$42+'Pt 1 Summary of Data'!G$42-'Pt 1 Summary of Data'!H$42,0.3%*('Pt 1 Summary of Data'!E$5+'Pt 1 Summary of Data'!G$5-'Pt 1 Summary of Data'!H$5-SUM(E$9:E$11))))</f>
        <v>98166.489999999991</v>
      </c>
      <c r="F7" s="400">
        <f t="shared" si="0"/>
        <v>98637.01</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22729.121200000001</v>
      </c>
      <c r="D12" s="400">
        <f>SUM(D$6:D$7) - SUM(D$8:D$11)+IF(AND(OR('Company Information'!$C$12="District of Columbia",'Company Information'!$C$12="Massachusetts",'Company Information'!$C$12="Vermont"),SUM($C$6:$F$11,$C$15:$F$16,$C$38:$D$38)&lt;&gt;0),SUM(I$6:I$7) - SUM(I$10:I$11),0)</f>
        <v>32259.0645</v>
      </c>
      <c r="E12" s="400">
        <f>SUM(E$6:E$7)-SUM(E$8:E$11)+IF(AND(OR('Company Information'!$C$12="District of Columbia",'Company Information'!$C$12="Massachusetts",'Company Information'!$C$12="Vermont"),SUM($C$6:$F$11,$C$15:$F$16,$C$38:$D$38)&lt;&gt;0),SUM(J$6:J$7)-SUM(J$10:J$11),0)</f>
        <v>109212.0796</v>
      </c>
      <c r="F12" s="400">
        <f>IFERROR(SUM(C$12:E$12)+C$17*MAX(0,E$50-C$50)+D$17*MAX(0,E$50-D$50),0)</f>
        <v>164200.2653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24017.86</v>
      </c>
      <c r="D15" s="403">
        <v>30911.93</v>
      </c>
      <c r="E15" s="395">
        <f>SUM('Pt 1 Summary of Data'!E$5:E$7)+SUM('Pt 1 Summary of Data'!G$5:G$7)-SUM('Pt 1 Summary of Data'!H$5:H$7)-SUM(E$9:E$11)</f>
        <v>7508.25</v>
      </c>
      <c r="F15" s="395">
        <f>SUM(C15:E15)</f>
        <v>62438.04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-10232</v>
      </c>
      <c r="D16" s="398">
        <v>929.22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-40506.19</v>
      </c>
      <c r="F16" s="400">
        <f>SUM(C16:E16)</f>
        <v>-49808.97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34249.86</v>
      </c>
      <c r="D17" s="400">
        <f>D$15-D$16+IF(AND(OR('Company Information'!$C$12="District of Columbia",'Company Information'!$C$12="Massachusetts",'Company Information'!$C$12="Vermont"),SUM($C$6:$F$11,$C$15:$F$16,$C$38:$D$38)&lt;&gt;0),I$15-I$16,0)</f>
        <v>29982.71</v>
      </c>
      <c r="E17" s="400">
        <f>E$15-E$16+IF(AND(OR('Company Information'!$C$12="District of Columbia",'Company Information'!$C$12="Massachusetts",'Company Information'!$C$12="Vermont"),SUM($C$6:$F$11,$C$15:$F$16,$C$38:$D$38)&lt;&gt;0),J$15-J$16,0)</f>
        <v>48014.44</v>
      </c>
      <c r="F17" s="400">
        <f>F$15-F$16+IF(AND(OR('Company Information'!$C$12="District of Columbia",'Company Information'!$C$12="Massachusetts",'Company Information'!$C$12="Vermont"),SUM($C$6:$F$11,$C$15:$F$16,$C$38:$D$38)&lt;&gt;0),K$15-K$16,0)</f>
        <v>112247.01000000001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4.58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1.6666666666666667</v>
      </c>
      <c r="F38" s="432">
        <f>SUM(C$38:E$38)+IF(AND(OR('Company Information'!$C$12="District of Columbia",'Company Information'!$C$12="Massachusetts",'Company Information'!$C$12="Vermont"),SUM($C$6:$F$11,$C$15:$F$16,$C$38:$D$38)&lt;&gt;0,SUM(C$38:D$38)&lt;&gt;SUM(H$38:I$38)),SUM(H$38:I$38),0)</f>
        <v>11.246666666666666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