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1284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Y55" i="18"/>
  <c r="X55" i="18"/>
  <c r="W55" i="18"/>
  <c r="V55" i="18"/>
  <c r="U55" i="18"/>
  <c r="T55" i="18"/>
  <c r="S55" i="18"/>
  <c r="R55" i="18"/>
  <c r="R22" i="4" s="1"/>
  <c r="Q55" i="18"/>
  <c r="P55" i="18"/>
  <c r="P22" i="4" s="1"/>
  <c r="O55" i="18"/>
  <c r="N55" i="18"/>
  <c r="N22" i="4" s="1"/>
  <c r="M55" i="18"/>
  <c r="L55" i="18"/>
  <c r="L22" i="4" s="1"/>
  <c r="K55" i="18"/>
  <c r="K22" i="4" s="1"/>
  <c r="J55" i="18"/>
  <c r="J22" i="4" s="1"/>
  <c r="I55" i="18"/>
  <c r="I22" i="4" s="1"/>
  <c r="H55" i="18"/>
  <c r="H22" i="4" s="1"/>
  <c r="G55" i="18"/>
  <c r="F55" i="18"/>
  <c r="E55" i="18"/>
  <c r="E22" i="4" s="1"/>
  <c r="D55" i="18"/>
  <c r="AU54" i="18"/>
  <c r="AU12" i="4" s="1"/>
  <c r="AT54" i="18"/>
  <c r="AT12" i="4" s="1"/>
  <c r="AS54" i="18"/>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Y22" i="4"/>
  <c r="X22" i="4"/>
  <c r="W22" i="4"/>
  <c r="V22" i="4"/>
  <c r="U22" i="4"/>
  <c r="T22" i="4"/>
  <c r="S22" i="4"/>
  <c r="Q22" i="4"/>
  <c r="O22" i="4"/>
  <c r="M22" i="4"/>
  <c r="G22" i="4"/>
  <c r="F22" i="4"/>
  <c r="D22" i="4"/>
  <c r="AS12" i="4"/>
  <c r="Z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E7" i="10"/>
  <c r="F7" i="10" s="1"/>
  <c r="J15" i="10"/>
  <c r="K15" i="10" s="1"/>
  <c r="G7" i="10"/>
  <c r="G23" i="10" s="1"/>
  <c r="J7" i="10"/>
  <c r="L21" i="10"/>
  <c r="L26" i="10" s="1"/>
  <c r="L25" i="10" s="1"/>
  <c r="L28" i="10" s="1"/>
  <c r="L30" i="10"/>
  <c r="L31" i="10" s="1"/>
  <c r="L29" i="10" s="1"/>
  <c r="L33" i="10" s="1"/>
  <c r="L34" i="10" s="1"/>
  <c r="P42" i="10"/>
  <c r="P47" i="10" s="1"/>
  <c r="P48" i="10" s="1"/>
  <c r="P51" i="10" s="1"/>
  <c r="P53" i="10" s="1"/>
  <c r="E11" i="16" s="1"/>
  <c r="X13" i="10"/>
  <c r="T13" i="10"/>
  <c r="R13" i="10"/>
  <c r="S13" i="10"/>
  <c r="E17" i="10" l="1"/>
  <c r="G19" i="10"/>
  <c r="G24" i="10"/>
  <c r="G32" i="10"/>
  <c r="G27" i="10"/>
  <c r="G20" i="10"/>
  <c r="D17" i="10"/>
  <c r="C12" i="10"/>
  <c r="C17" i="10"/>
  <c r="G22" i="10"/>
  <c r="K7" i="10"/>
  <c r="H17" i="10" s="1"/>
  <c r="I17" i="10"/>
  <c r="E12" i="10"/>
  <c r="F17" i="10"/>
  <c r="D12" i="10"/>
  <c r="E38" i="10"/>
  <c r="J38" i="10" l="1"/>
  <c r="K17" i="10"/>
  <c r="J17" i="10"/>
  <c r="J12" i="10"/>
  <c r="D45" i="10"/>
  <c r="G30" i="10"/>
  <c r="G31" i="10" s="1"/>
  <c r="G29" i="10" s="1"/>
  <c r="G33" i="10" s="1"/>
  <c r="G34" i="10" s="1"/>
  <c r="G21" i="10"/>
  <c r="G26" i="10" s="1"/>
  <c r="G25" i="10" s="1"/>
  <c r="G28" i="10" s="1"/>
  <c r="C45" i="10"/>
  <c r="F12" i="10"/>
  <c r="E45" i="10"/>
  <c r="F38" i="10"/>
  <c r="H12" i="10"/>
  <c r="I12" i="10"/>
  <c r="I45" i="10" s="1"/>
  <c r="J45" i="10" l="1"/>
  <c r="K38" i="10"/>
  <c r="K52" i="10" s="1"/>
  <c r="K12" i="10"/>
  <c r="F45" i="10"/>
  <c r="F52" i="10"/>
  <c r="F39" i="10"/>
  <c r="F42" i="10" s="1"/>
  <c r="F47" i="10" s="1"/>
  <c r="F48" i="10" s="1"/>
  <c r="F51" i="10" s="1"/>
  <c r="F53" i="10" s="1"/>
  <c r="C11" i="16" s="1"/>
  <c r="H45" i="10"/>
  <c r="K39" i="10" s="1"/>
  <c r="K42" i="10" s="1"/>
  <c r="K45" i="10" l="1"/>
  <c r="K47" i="10" s="1"/>
  <c r="K48" i="10" s="1"/>
  <c r="K51" i="10" s="1"/>
  <c r="K53" i="10" s="1"/>
  <c r="D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<sst xmlns="http://schemas.openxmlformats.org/spreadsheetml/2006/main" count="570" uniqueCount="509">
  <si>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</si>
  <si>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</si>
  <si>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</si>
  <si>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</si>
  <si>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</si>
  <si>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</si>
  <si>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</si>
  <si>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</si>
  <si>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</si>
  <si>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</si>
  <si>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</si>
  <si>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</si>
  <si>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</si>
  <si>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</si>
  <si>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</si>
  <si>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</si>
  <si>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</si>
  <si>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</si>
  <si>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</si>
  <si>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</si>
  <si>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</si>
  <si>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</si>
  <si>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</si>
  <si>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</si>
  <si>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</si>
  <si>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</si>
  <si>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</si>
  <si>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</si>
  <si>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</si>
  <si>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</si>
  <si>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</si>
  <si>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</si>
  <si>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</si>
  <si>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</si>
  <si>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</si>
  <si>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</si>
  <si>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</si>
  <si>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</si>
  <si>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</si>
  <si>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</si>
  <si>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</si>
  <si>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</si>
  <si>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</si>
  <si>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</si>
  <si>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</si>
  <si>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</si>
  <si>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</si>
  <si>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</si>
  <si>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</si>
  <si>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</si>
  <si>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</si>
  <si>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</si>
  <si>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</si>
  <si>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</si>
  <si>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</si>
  <si>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</si>
  <si>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</si>
  <si>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</si>
  <si>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</si>
  <si>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</si>
  <si>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</si>
  <si>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</si>
  <si>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</si>
  <si>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</si>
  <si>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</si>
  <si>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</si>
  <si>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</si>
  <si>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</si>
  <si>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</si>
  <si>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</si>
  <si>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</si>
  <si>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</si>
  <si>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</si>
  <si>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</si>
  <si>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</si>
  <si>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</si>
  <si>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</si>
  <si>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</si>
  <si>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</si>
  <si>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</si>
  <si>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</si>
  <si>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</si>
  <si>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</si>
  <si>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</si>
  <si>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</si>
  <si>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</si>
  <si>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</si>
  <si>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</si>
  <si>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</si>
  <si>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</si>
  <si>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</si>
  <si>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</si>
  <si>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</si>
  <si>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</si>
  <si>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</si>
  <si>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</si>
  <si>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</si>
  <si>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</si>
  <si>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</si>
  <si>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</si>
  <si>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</si>
  <si>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</si>
  <si>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</si>
  <si>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</si>
  <si>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</si>
  <si>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</si>
  <si>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</si>
  <si>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</si>
  <si>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</si>
  <si>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</si>
  <si>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</si>
  <si>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</si>
  <si>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</si>
  <si>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</si>
  <si>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</si>
  <si>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</si>
  <si>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</si>
  <si>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</si>
  <si>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</si>
  <si>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</si>
  <si>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</si>
  <si>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</si>
  <si>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</si>
  <si>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</si>
  <si>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</si>
  <si>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</si>
  <si>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</si>
  <si>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</si>
  <si>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</si>
  <si>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</si>
  <si>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</si>
  <si>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</si>
  <si>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</si>
  <si>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</si>
  <si>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</si>
  <si>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</si>
  <si>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</si>
  <si>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</si>
  <si>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</si>
  <si>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</si>
  <si>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</si>
  <si>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</si>
  <si>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</si>
  <si>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</si>
  <si>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</si>
  <si>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</si>
  <si>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</si>
  <si>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</si>
  <si>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</si>
  <si>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</si>
  <si>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</si>
  <si>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</si>
  <si>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</si>
  <si>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</si>
  <si>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</si>
  <si>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</si>
  <si>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</si>
  <si>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</si>
  <si>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</si>
  <si>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</si>
  <si>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</si>
  <si>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</si>
  <si>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</si>
  <si>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</si>
  <si>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</si>
  <si>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</si>
  <si>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</si>
  <si>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</si>
  <si>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</si>
  <si>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</si>
  <si>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</si>
  <si>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</si>
  <si>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</si>
  <si>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</si>
  <si>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</si>
  <si>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</si>
  <si>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</si>
  <si>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</si>
  <si>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</si>
  <si>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</si>
  <si>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</si>
  <si>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</si>
  <si>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</si>
  <si>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</si>
  <si>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</si>
  <si>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</si>
  <si>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</si>
  <si>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</si>
  <si>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</si>
  <si>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</si>
  <si>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</si>
  <si>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</si>
  <si>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</si>
  <si>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</si>
  <si>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</si>
  <si>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</si>
  <si>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</si>
  <si>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</si>
  <si>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</si>
  <si>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</si>
  <si>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</si>
  <si>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</si>
  <si>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</si>
  <si>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</si>
  <si>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</si>
  <si>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</si>
  <si>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</si>
  <si>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</si>
  <si>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</si>
  <si>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</si>
  <si>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</si>
  <si>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</si>
  <si>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</si>
  <si>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</si>
  <si>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</si>
  <si>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</si>
  <si>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</si>
  <si>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</si>
  <si>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</si>
  <si>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</si>
  <si>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</si>
  <si>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</si>
  <si>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</si>
  <si>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</si>
  <si>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</si>
  <si>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</si>
  <si>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</si>
  <si>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</si>
  <si>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</si>
  <si>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</si>
  <si>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</si>
  <si>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</si>
  <si>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</si>
  <si>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</si>
  <si>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</si>
  <si>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</si>
  <si>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</si>
  <si>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</si>
  <si>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</si>
  <si>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</si>
  <si>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</si>
  <si>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</si>
  <si>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</si>
  <si>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</si>
  <si>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</si>
  <si>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</si>
  <si>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</si>
  <si>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</si>
  <si>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</si>
  <si>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</si>
  <si>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</si>
  <si>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</si>
  <si>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</si>
  <si>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</si>
  <si>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</si>
  <si>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</si>
  <si>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</si>
  <si>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</si>
  <si>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</si>
  <si>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</si>
  <si>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</si>
  <si>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</si>
  <si>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</si>
  <si>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</si>
  <si>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</si>
  <si>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</si>
  <si>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</si>
  <si>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</si>
  <si>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</si>
  <si>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</si>
  <si>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</si>
  <si>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</si>
  <si>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</si>
  <si>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</si>
  <si>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</si>
  <si>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</si>
  <si>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</si>
  <si>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</si>
  <si>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</si>
  <si>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</si>
  <si>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</si>
  <si>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</si>
  <si>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</si>
  <si>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</si>
  <si>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</si>
  <si>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</si>
  <si>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</si>
  <si>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</si>
  <si>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</si>
  <si>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</si>
  <si>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</si>
  <si>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</si>
  <si>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</si>
  <si>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</si>
  <si>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</si>
  <si>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</si>
  <si>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</si>
  <si>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</si>
  <si>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</si>
  <si>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</si>
  <si>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</si>
  <si>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</si>
  <si>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</si>
  <si>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</si>
  <si>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</si>
  <si>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</si>
  <si>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</si>
  <si>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</si>
  <si>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</si>
  <si>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</si>
  <si>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</si>
  <si>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</si>
  <si>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</si>
  <si>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</si>
  <si>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</si>
  <si>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</si>
  <si>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</si>
  <si>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</si>
  <si>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</si>
  <si>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</si>
  <si>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</si>
  <si>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</si>
  <si>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</si>
  <si>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</si>
  <si>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</si>
  <si>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</si>
  <si>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</si>
  <si>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</si>
  <si>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</si>
  <si>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</si>
  <si>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</si>
  <si>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</si>
  <si>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</si>
  <si>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</si>
  <si>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</si>
  <si>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</si>
  <si>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</si>
  <si>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</si>
  <si>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</si>
  <si>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</si>
  <si>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</si>
  <si>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</si>
  <si>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</si>
  <si>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</si>
  <si>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</si>
  <si>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</si>
  <si>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</si>
  <si>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</si>
  <si>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</si>
  <si>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</si>
  <si>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</si>
  <si>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</si>
  <si>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</si>
  <si>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</si>
  <si>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</si>
  <si>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</si>
  <si>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</si>
  <si>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</si>
  <si>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</si>
  <si>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</si>
  <si>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</si>
  <si>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</si>
  <si>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</si>
  <si>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</si>
  <si>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</si>
  <si>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</si>
  <si>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</si>
  <si>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</si>
  <si>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</si>
  <si>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</si>
  <si>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</si>
  <si>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</si>
  <si>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</si>
  <si>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</si>
  <si>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</si>
  <si>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</si>
  <si>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</si>
  <si>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</si>
  <si>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</si>
  <si>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</si>
  <si>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</si>
  <si>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</si>
  <si>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</si>
  <si>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</si>
  <si>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</si>
  <si>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</si>
  <si>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</si>
  <si>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</si>
  <si>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</si>
  <si>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</si>
  <si>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</si>
  <si>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</si>
  <si>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</si>
  <si>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</si>
  <si>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</si>
  <si>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</si>
  <si>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</si>
  <si>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</si>
  <si>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</si>
  <si>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</si>
  <si>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</si>
  <si>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</si>
  <si>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</si>
  <si>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</si>
  <si>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</si>
  <si>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</si>
  <si>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</si>
  <si>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</si>
  <si>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</si>
  <si>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</si>
  <si>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</si>
  <si>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</si>
  <si>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</si>
  <si>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</si>
  <si>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</si>
  <si>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</si>
  <si>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</si>
  <si>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</si>
  <si>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</si>
  <si>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</si>
  <si>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</si>
  <si>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</si>
  <si>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</si>
  <si>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</si>
  <si>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</si>
  <si>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</si>
  <si>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</si>
  <si>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</si>
  <si>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</si>
  <si>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</si>
  <si>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</si>
  <si>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</si>
  <si>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</si>
  <si>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</si>
  <si>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</si>
  <si>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</si>
  <si>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</si>
  <si>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</si>
  <si>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</si>
  <si>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</si>
  <si>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</si>
  <si>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</si>
  <si>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</si>
  <si>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</si>
  <si>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</si>
  <si>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</si>
  <si>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</si>
  <si>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</si>
  <si>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</si>
  <si>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</si>
  <si>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</si>
  <si>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</si>
  <si>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</si>
  <si>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</si>
  <si>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</si>
  <si>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</si>
  <si>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</si>
  <si>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</si>
  <si>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</si>
  <si>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</si>
  <si>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</si>
  <si>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</si>
  <si>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</si>
  <si>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</si>
  <si>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</si>
  <si>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</si>
  <si>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</si>
  <si>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</si>
  <si>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</si>
  <si>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</si>
  <si>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</si>
  <si>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</si>
  <si>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</si>
  <si>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</si>
  <si>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</si>
  <si>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</si>
  <si>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</si>
  <si>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</si>
  <si>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</si>
  <si>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</si>
  <si>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</si>
  <si>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</si>
  <si>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</si>
  <si>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</si>
  <si>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</si>
  <si>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</si>
  <si>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</si>
  <si>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</si>
  <si>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</si>
  <si>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</si>
  <si>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</si>
  <si>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</si>
  <si>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</si>
  <si>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</si>
  <si>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</si>
  <si>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</si>
  <si>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</si>
  <si>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</si>
  <si>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</si>
  <si>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</si>
  <si>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</si>
  <si>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</si>
  <si>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</si>
  <si>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</si>
  <si>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</si>
  <si>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48963</t>
  </si>
  <si>
    <t>219</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</si>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</sst>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166</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150827410</v>
      </c>
      <c r="E5" s="213">
        <f>SUM('Pt 2 Premium and Claims'!E$5,'Pt 2 Premium and Claims'!E$6,-'Pt 2 Premium and Claims'!E$7,-'Pt 2 Premium and Claims'!E$13,'Pt 2 Premium and Claims'!E$14:'Pt 2 Premium and Claims'!E$17)</f>
        <v>173558467.1377255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168460768</v>
      </c>
      <c r="J5" s="212">
        <f>SUM('Pt 2 Premium and Claims'!J$5,'Pt 2 Premium and Claims'!J$6,-'Pt 2 Premium and Claims'!J$7,-'Pt 2 Premium and Claims'!J$13,'Pt 2 Premium and Claims'!J$14,'Pt 2 Premium and Claims'!J$16:'Pt 2 Premium and Claims'!J$17)</f>
        <v>11789776</v>
      </c>
      <c r="K5" s="213">
        <f>SUM('Pt 2 Premium and Claims'!K$5,'Pt 2 Premium and Claims'!K$6,-'Pt 2 Premium and Claims'!K$7,-'Pt 2 Premium and Claims'!K$13,'Pt 2 Premium and Claims'!K$14,'Pt 2 Premium and Claims'!K$16:'Pt 2 Premium and Claims'!K$17)</f>
        <v>12481778.794826999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6682312</v>
      </c>
      <c r="Q5" s="213">
        <f>SUM('Pt 2 Premium and Claims'!Q$5,'Pt 2 Premium and Claims'!Q$6,-'Pt 2 Premium and Claims'!Q$7,-'Pt 2 Premium and Claims'!Q$13,'Pt 2 Premium and Claims'!Q$14)</f>
        <v>7048126.1960899998</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16189382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-10441</v>
      </c>
      <c r="E7" s="217">
        <v>-10440.75</v>
      </c>
      <c r="F7" s="217"/>
      <c r="G7" s="217"/>
      <c r="H7" s="217"/>
      <c r="I7" s="216">
        <v>0</v>
      </c>
      <c r="J7" s="216">
        <v>-5856</v>
      </c>
      <c r="K7" s="217">
        <v>-5855.83</v>
      </c>
      <c r="L7" s="217"/>
      <c r="M7" s="217"/>
      <c r="N7" s="217"/>
      <c r="O7" s="216"/>
      <c r="P7" s="216">
        <v>-14712</v>
      </c>
      <c r="Q7" s="217">
        <v>-14711.84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-1943</v>
      </c>
      <c r="AU7" s="220">
        <v>0</v>
      </c>
      <c r="AV7" s="290"/>
      <c r="AW7" s="297"/>
    </row>
    <row r="8" spans="1:49" ht="25.5" x14ac:dyDescent="0.2">
      <c r="B8" s="239" t="s">
        <v>225</v>
      </c>
      <c r="C8" s="203" t="s">
        <v>59</v>
      </c>
      <c r="D8" s="216">
        <v>-1096156</v>
      </c>
      <c r="E8" s="268"/>
      <c r="F8" s="269"/>
      <c r="G8" s="269"/>
      <c r="H8" s="269"/>
      <c r="I8" s="272"/>
      <c r="J8" s="216">
        <v>-22935</v>
      </c>
      <c r="K8" s="268"/>
      <c r="L8" s="269"/>
      <c r="M8" s="269"/>
      <c r="N8" s="269"/>
      <c r="O8" s="272"/>
      <c r="P8" s="216">
        <v>-6152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-3864980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133615921</v>
      </c>
      <c r="E12" s="213">
        <f>'Pt 2 Premium and Claims'!E$54</f>
        <v>146082350.678</v>
      </c>
      <c r="F12" s="213">
        <f>'Pt 2 Premium and Claims'!F$54</f>
        <v>0</v>
      </c>
      <c r="G12" s="213">
        <f>'Pt 2 Premium and Claims'!G$54</f>
        <v>0</v>
      </c>
      <c r="H12" s="213">
        <f>'Pt 2 Premium and Claims'!H$54</f>
        <v>0</v>
      </c>
      <c r="I12" s="212">
        <f>'Pt 2 Premium and Claims'!I$54</f>
        <v>145482583</v>
      </c>
      <c r="J12" s="212">
        <f>'Pt 2 Premium and Claims'!J$54</f>
        <v>9487501</v>
      </c>
      <c r="K12" s="213">
        <f>'Pt 2 Premium and Claims'!K$54</f>
        <v>9322010.6940063108</v>
      </c>
      <c r="L12" s="213">
        <f>'Pt 2 Premium and Claims'!L$54</f>
        <v>0</v>
      </c>
      <c r="M12" s="213">
        <f>'Pt 2 Premium and Claims'!M$54</f>
        <v>0</v>
      </c>
      <c r="N12" s="213">
        <f>'Pt 2 Premium and Claims'!N$54</f>
        <v>0</v>
      </c>
      <c r="O12" s="212">
        <f>'Pt 2 Premium and Claims'!O$54</f>
        <v>0</v>
      </c>
      <c r="P12" s="212">
        <f>'Pt 2 Premium and Claims'!P$54</f>
        <v>4968566</v>
      </c>
      <c r="Q12" s="213">
        <f>'Pt 2 Premium and Claims'!Q$54</f>
        <v>5260106.98099369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11933117</v>
      </c>
      <c r="AU12" s="214">
        <f>'Pt 2 Premium and Claims'!AU$54</f>
        <v>0</v>
      </c>
      <c r="AV12" s="291"/>
      <c r="AW12" s="296"/>
    </row>
    <row r="13" spans="1:49" ht="25.5" x14ac:dyDescent="0.2">
      <c r="B13" s="239" t="s">
        <v>230</v>
      </c>
      <c r="C13" s="203" t="s">
        <v>37</v>
      </c>
      <c r="D13" s="216">
        <v>17283625</v>
      </c>
      <c r="E13" s="217">
        <v>20871152.41</v>
      </c>
      <c r="F13" s="217"/>
      <c r="G13" s="268"/>
      <c r="H13" s="269"/>
      <c r="I13" s="216">
        <v>20135496</v>
      </c>
      <c r="J13" s="216">
        <v>2254591</v>
      </c>
      <c r="K13" s="217">
        <v>2193691.4760504914</v>
      </c>
      <c r="L13" s="217"/>
      <c r="M13" s="268"/>
      <c r="N13" s="269"/>
      <c r="O13" s="216"/>
      <c r="P13" s="216">
        <v>757481</v>
      </c>
      <c r="Q13" s="217">
        <v>829837.95394950849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19510</v>
      </c>
      <c r="AU13" s="220">
        <v>0</v>
      </c>
      <c r="AV13" s="290"/>
      <c r="AW13" s="297"/>
    </row>
    <row r="14" spans="1:49" ht="25.5" x14ac:dyDescent="0.2">
      <c r="B14" s="239" t="s">
        <v>231</v>
      </c>
      <c r="C14" s="203" t="s">
        <v>6</v>
      </c>
      <c r="D14" s="216">
        <v>2465514</v>
      </c>
      <c r="E14" s="217">
        <v>2384722.59</v>
      </c>
      <c r="F14" s="217"/>
      <c r="G14" s="267"/>
      <c r="H14" s="270"/>
      <c r="I14" s="216">
        <v>2291225</v>
      </c>
      <c r="J14" s="216">
        <v>300797</v>
      </c>
      <c r="K14" s="217">
        <v>298854.16112569586</v>
      </c>
      <c r="L14" s="217"/>
      <c r="M14" s="267"/>
      <c r="N14" s="270"/>
      <c r="O14" s="216"/>
      <c r="P14" s="216">
        <v>123846</v>
      </c>
      <c r="Q14" s="217">
        <v>139268.2888743041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-149</v>
      </c>
      <c r="AU14" s="220">
        <v>0</v>
      </c>
      <c r="AV14" s="290"/>
      <c r="AW14" s="297"/>
    </row>
    <row r="15" spans="1:49" ht="38.25" x14ac:dyDescent="0.2">
      <c r="B15" s="239" t="s">
        <v>232</v>
      </c>
      <c r="C15" s="203" t="s">
        <v>7</v>
      </c>
      <c r="D15" s="216">
        <v>5143</v>
      </c>
      <c r="E15" s="217">
        <v>5143.0200000000004</v>
      </c>
      <c r="F15" s="217"/>
      <c r="G15" s="267"/>
      <c r="H15" s="273"/>
      <c r="I15" s="216">
        <v>4971</v>
      </c>
      <c r="J15" s="216">
        <v>438</v>
      </c>
      <c r="K15" s="217">
        <v>421.44747890679776</v>
      </c>
      <c r="L15" s="217"/>
      <c r="M15" s="267"/>
      <c r="N15" s="273"/>
      <c r="O15" s="216"/>
      <c r="P15" s="216">
        <v>248</v>
      </c>
      <c r="Q15" s="217">
        <v>264.49252109320224</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562</v>
      </c>
      <c r="AU15" s="220">
        <v>0</v>
      </c>
      <c r="AV15" s="290"/>
      <c r="AW15" s="297"/>
    </row>
    <row r="16" spans="1:49" ht="25.5" x14ac:dyDescent="0.2">
      <c r="B16" s="239" t="s">
        <v>233</v>
      </c>
      <c r="C16" s="203" t="s">
        <v>61</v>
      </c>
      <c r="D16" s="216">
        <v>-20534905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-4315760</v>
      </c>
      <c r="AU16" s="220">
        <v>0</v>
      </c>
      <c r="AV16" s="290"/>
      <c r="AW16" s="297"/>
    </row>
    <row r="17" spans="1:49" x14ac:dyDescent="0.2">
      <c r="B17" s="239" t="s">
        <v>234</v>
      </c>
      <c r="C17" s="203" t="s">
        <v>62</v>
      </c>
      <c r="D17" s="216">
        <v>-4147979</v>
      </c>
      <c r="E17" s="267"/>
      <c r="F17" s="270"/>
      <c r="G17" s="270"/>
      <c r="H17" s="270"/>
      <c r="I17" s="271"/>
      <c r="J17" s="216">
        <v>348818</v>
      </c>
      <c r="K17" s="267"/>
      <c r="L17" s="270"/>
      <c r="M17" s="270"/>
      <c r="N17" s="270"/>
      <c r="O17" s="271"/>
      <c r="P17" s="216">
        <v>-82313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7208323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6734868</v>
      </c>
      <c r="E19" s="267"/>
      <c r="F19" s="270"/>
      <c r="G19" s="270"/>
      <c r="H19" s="270"/>
      <c r="I19" s="271"/>
      <c r="J19" s="216">
        <v>355339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3674521</v>
      </c>
      <c r="E20" s="267"/>
      <c r="F20" s="270"/>
      <c r="G20" s="270"/>
      <c r="H20" s="270"/>
      <c r="I20" s="271"/>
      <c r="J20" s="216">
        <v>6521</v>
      </c>
      <c r="K20" s="267"/>
      <c r="L20" s="270"/>
      <c r="M20" s="270"/>
      <c r="N20" s="270"/>
      <c r="O20" s="271"/>
      <c r="P20" s="216">
        <v>11374</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179448.71</v>
      </c>
      <c r="E22" s="222">
        <f>'Pt 2 Premium and Claims'!E$55</f>
        <v>179448.71</v>
      </c>
      <c r="F22" s="222">
        <f>'Pt 2 Premium and Claims'!F$55</f>
        <v>0</v>
      </c>
      <c r="G22" s="222">
        <f>'Pt 2 Premium and Claims'!G$55</f>
        <v>0</v>
      </c>
      <c r="H22" s="222">
        <f>'Pt 2 Premium and Claims'!H$55</f>
        <v>0</v>
      </c>
      <c r="I22" s="221">
        <f>'Pt 2 Premium and Claims'!I$55</f>
        <v>173304</v>
      </c>
      <c r="J22" s="221">
        <f>'Pt 2 Premium and Claims'!J$55</f>
        <v>12956</v>
      </c>
      <c r="K22" s="222">
        <f>'Pt 2 Premium and Claims'!K$55</f>
        <v>12956.23</v>
      </c>
      <c r="L22" s="222">
        <f>'Pt 2 Premium and Claims'!L$55</f>
        <v>0</v>
      </c>
      <c r="M22" s="222">
        <f>'Pt 2 Premium and Claims'!M$55</f>
        <v>0</v>
      </c>
      <c r="N22" s="222">
        <f>'Pt 2 Premium and Claims'!N$55</f>
        <v>0</v>
      </c>
      <c r="O22" s="221">
        <f>'Pt 2 Premium and Claims'!O$55</f>
        <v>0</v>
      </c>
      <c r="P22" s="221">
        <f>'Pt 2 Premium and Claims'!P$55</f>
        <v>8549.0300000000007</v>
      </c>
      <c r="Q22" s="222">
        <f>'Pt 2 Premium and Claims'!Q$55</f>
        <v>9175.8828021147474</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4270323.1500000004</v>
      </c>
      <c r="E25" s="217">
        <v>4270323.3693685839</v>
      </c>
      <c r="F25" s="217"/>
      <c r="G25" s="217"/>
      <c r="H25" s="217"/>
      <c r="I25" s="216">
        <v>3158335</v>
      </c>
      <c r="J25" s="216">
        <v>103737.26</v>
      </c>
      <c r="K25" s="217">
        <v>260596.71421189641</v>
      </c>
      <c r="L25" s="217"/>
      <c r="M25" s="217"/>
      <c r="N25" s="217"/>
      <c r="O25" s="216"/>
      <c r="P25" s="216">
        <v>-253743.42</v>
      </c>
      <c r="Q25" s="217">
        <v>-410603.65922266099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381655.6</v>
      </c>
      <c r="AU25" s="220"/>
      <c r="AV25" s="220"/>
      <c r="AW25" s="297"/>
    </row>
    <row r="26" spans="1:49" s="5" customFormat="1" x14ac:dyDescent="0.2">
      <c r="A26" s="35"/>
      <c r="B26" s="242" t="s">
        <v>242</v>
      </c>
      <c r="C26" s="203"/>
      <c r="D26" s="216">
        <v>66816.460000000006</v>
      </c>
      <c r="E26" s="217">
        <v>66816.460000000006</v>
      </c>
      <c r="F26" s="217"/>
      <c r="G26" s="217"/>
      <c r="H26" s="217"/>
      <c r="I26" s="216">
        <v>59980</v>
      </c>
      <c r="J26" s="216">
        <v>5864.44</v>
      </c>
      <c r="K26" s="217">
        <v>5465.1234366695835</v>
      </c>
      <c r="L26" s="217"/>
      <c r="M26" s="217"/>
      <c r="N26" s="217"/>
      <c r="O26" s="216"/>
      <c r="P26" s="216">
        <v>6264.57</v>
      </c>
      <c r="Q26" s="217">
        <v>6663.8865633304167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342.29</v>
      </c>
      <c r="AU26" s="220"/>
      <c r="AV26" s="220"/>
      <c r="AW26" s="297"/>
    </row>
    <row r="27" spans="1:49" s="5" customFormat="1" x14ac:dyDescent="0.2">
      <c r="B27" s="242" t="s">
        <v>243</v>
      </c>
      <c r="C27" s="203"/>
      <c r="D27" s="216">
        <v>2460386.2200000002</v>
      </c>
      <c r="E27" s="217">
        <v>2460386.2200000002</v>
      </c>
      <c r="F27" s="217"/>
      <c r="G27" s="217"/>
      <c r="H27" s="217"/>
      <c r="I27" s="216">
        <v>2378197</v>
      </c>
      <c r="J27" s="216">
        <v>211395.63</v>
      </c>
      <c r="K27" s="217">
        <v>203224.78760501384</v>
      </c>
      <c r="L27" s="217"/>
      <c r="M27" s="217"/>
      <c r="N27" s="217"/>
      <c r="O27" s="216"/>
      <c r="P27" s="216">
        <v>112049.42</v>
      </c>
      <c r="Q27" s="217">
        <v>120220.26239498614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124249.38</v>
      </c>
      <c r="AU27" s="220"/>
      <c r="AV27" s="293"/>
      <c r="AW27" s="297"/>
    </row>
    <row r="28" spans="1:49" s="5" customFormat="1" x14ac:dyDescent="0.2">
      <c r="A28" s="35"/>
      <c r="B28" s="242" t="s">
        <v>244</v>
      </c>
      <c r="C28" s="203"/>
      <c r="D28" s="216">
        <v>280027.62</v>
      </c>
      <c r="E28" s="217">
        <v>280027.62</v>
      </c>
      <c r="F28" s="217"/>
      <c r="G28" s="217"/>
      <c r="H28" s="217"/>
      <c r="I28" s="216">
        <v>266478</v>
      </c>
      <c r="J28" s="216">
        <v>21884.86</v>
      </c>
      <c r="K28" s="217">
        <v>21053.932037847811</v>
      </c>
      <c r="L28" s="217"/>
      <c r="M28" s="217"/>
      <c r="N28" s="217"/>
      <c r="O28" s="216"/>
      <c r="P28" s="216">
        <v>12363.06</v>
      </c>
      <c r="Q28" s="217">
        <v>13193.987962152189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43228.52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370203.64</v>
      </c>
      <c r="E30" s="217">
        <v>370203.65716610634</v>
      </c>
      <c r="F30" s="217"/>
      <c r="G30" s="217"/>
      <c r="H30" s="217"/>
      <c r="I30" s="216">
        <v>281512</v>
      </c>
      <c r="J30" s="216">
        <v>10916.15</v>
      </c>
      <c r="K30" s="217">
        <v>23082.921540621519</v>
      </c>
      <c r="L30" s="217"/>
      <c r="M30" s="217"/>
      <c r="N30" s="217"/>
      <c r="O30" s="216"/>
      <c r="P30" s="216">
        <v>-18349.2</v>
      </c>
      <c r="Q30" s="217">
        <v>-30516.032969555406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34978.67</v>
      </c>
      <c r="AU30" s="220"/>
      <c r="AV30" s="220"/>
      <c r="AW30" s="297"/>
    </row>
    <row r="31" spans="1:49" x14ac:dyDescent="0.2">
      <c r="B31" s="242" t="s">
        <v>247</v>
      </c>
      <c r="C31" s="203"/>
      <c r="D31" s="216">
        <v>2803926.75</v>
      </c>
      <c r="E31" s="217">
        <v>2803926.75</v>
      </c>
      <c r="F31" s="217"/>
      <c r="G31" s="217"/>
      <c r="H31" s="217"/>
      <c r="I31" s="216">
        <v>2703176</v>
      </c>
      <c r="J31" s="216">
        <v>252344.38</v>
      </c>
      <c r="K31" s="217">
        <v>243174.99208544023</v>
      </c>
      <c r="L31" s="217"/>
      <c r="M31" s="217"/>
      <c r="N31" s="217"/>
      <c r="O31" s="216"/>
      <c r="P31" s="216">
        <v>125377.11</v>
      </c>
      <c r="Q31" s="217">
        <v>134546.49791455979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314669.65000000002</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358063.92</v>
      </c>
      <c r="E34" s="217">
        <v>1252343.29</v>
      </c>
      <c r="F34" s="217"/>
      <c r="G34" s="217"/>
      <c r="H34" s="217"/>
      <c r="I34" s="216">
        <v>1193450</v>
      </c>
      <c r="J34" s="216">
        <v>121027.81</v>
      </c>
      <c r="K34" s="217">
        <v>116901.08636614503</v>
      </c>
      <c r="L34" s="217"/>
      <c r="M34" s="217"/>
      <c r="N34" s="217"/>
      <c r="O34" s="216"/>
      <c r="P34" s="216">
        <v>55711.81</v>
      </c>
      <c r="Q34" s="217">
        <v>59838.533633854968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4635801.2300000004</v>
      </c>
      <c r="E35" s="217">
        <v>4635801.2300000004</v>
      </c>
      <c r="F35" s="217"/>
      <c r="G35" s="217"/>
      <c r="H35" s="217"/>
      <c r="I35" s="216">
        <v>4631523</v>
      </c>
      <c r="J35" s="216">
        <v>9352.6299999999992</v>
      </c>
      <c r="K35" s="217">
        <v>9063.2511948036536</v>
      </c>
      <c r="L35" s="217"/>
      <c r="M35" s="217"/>
      <c r="N35" s="217"/>
      <c r="O35" s="216"/>
      <c r="P35" s="216">
        <v>3989.8</v>
      </c>
      <c r="Q35" s="217">
        <v>4279.1788051963458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32664.34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305098</v>
      </c>
      <c r="E37" s="225">
        <v>305098.02</v>
      </c>
      <c r="F37" s="225"/>
      <c r="G37" s="225"/>
      <c r="H37" s="225"/>
      <c r="I37" s="224">
        <v>269182</v>
      </c>
      <c r="J37" s="224">
        <v>26408</v>
      </c>
      <c r="K37" s="225">
        <v>23447.814357798936</v>
      </c>
      <c r="L37" s="225"/>
      <c r="M37" s="225"/>
      <c r="N37" s="225"/>
      <c r="O37" s="224"/>
      <c r="P37" s="224">
        <v>90579</v>
      </c>
      <c r="Q37" s="225">
        <v>93539.44564220107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243</v>
      </c>
      <c r="AU37" s="226">
        <v>0</v>
      </c>
      <c r="AV37" s="226">
        <v>101518</v>
      </c>
      <c r="AW37" s="296"/>
    </row>
    <row r="38" spans="1:49" x14ac:dyDescent="0.2">
      <c r="B38" s="239" t="s">
        <v>254</v>
      </c>
      <c r="C38" s="203" t="s">
        <v>16</v>
      </c>
      <c r="D38" s="216">
        <v>70507</v>
      </c>
      <c r="E38" s="217">
        <v>70506.94</v>
      </c>
      <c r="F38" s="217"/>
      <c r="G38" s="217"/>
      <c r="H38" s="217"/>
      <c r="I38" s="216">
        <v>35373</v>
      </c>
      <c r="J38" s="216">
        <v>-933</v>
      </c>
      <c r="K38" s="217">
        <v>-3717.5617127483515</v>
      </c>
      <c r="L38" s="217"/>
      <c r="M38" s="217"/>
      <c r="N38" s="217"/>
      <c r="O38" s="216"/>
      <c r="P38" s="216">
        <v>106194</v>
      </c>
      <c r="Q38" s="217">
        <v>108978.67171274836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v>
      </c>
      <c r="AU38" s="220">
        <v>0</v>
      </c>
      <c r="AV38" s="220">
        <v>130584</v>
      </c>
      <c r="AW38" s="297"/>
    </row>
    <row r="39" spans="1:49" x14ac:dyDescent="0.2">
      <c r="B39" s="242" t="s">
        <v>255</v>
      </c>
      <c r="C39" s="203" t="s">
        <v>17</v>
      </c>
      <c r="D39" s="216">
        <v>163300</v>
      </c>
      <c r="E39" s="217">
        <v>163299.78</v>
      </c>
      <c r="F39" s="217"/>
      <c r="G39" s="217"/>
      <c r="H39" s="217"/>
      <c r="I39" s="216">
        <v>153844</v>
      </c>
      <c r="J39" s="216">
        <v>15459</v>
      </c>
      <c r="K39" s="217">
        <v>14586.320544964408</v>
      </c>
      <c r="L39" s="217"/>
      <c r="M39" s="217"/>
      <c r="N39" s="217"/>
      <c r="O39" s="216"/>
      <c r="P39" s="216">
        <v>19870</v>
      </c>
      <c r="Q39" s="217">
        <v>20742.889455035591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1163</v>
      </c>
      <c r="AU39" s="220">
        <v>0</v>
      </c>
      <c r="AV39" s="220">
        <v>18484</v>
      </c>
      <c r="AW39" s="297"/>
    </row>
    <row r="40" spans="1:49" x14ac:dyDescent="0.2">
      <c r="B40" s="242" t="s">
        <v>256</v>
      </c>
      <c r="C40" s="203" t="s">
        <v>38</v>
      </c>
      <c r="D40" s="216">
        <v>692493</v>
      </c>
      <c r="E40" s="217">
        <v>692493.02</v>
      </c>
      <c r="F40" s="217"/>
      <c r="G40" s="217"/>
      <c r="H40" s="217"/>
      <c r="I40" s="216">
        <v>656336</v>
      </c>
      <c r="J40" s="216">
        <v>112622</v>
      </c>
      <c r="K40" s="217">
        <v>106915.49555779</v>
      </c>
      <c r="L40" s="217"/>
      <c r="M40" s="217"/>
      <c r="N40" s="217"/>
      <c r="O40" s="216"/>
      <c r="P40" s="216">
        <v>115930</v>
      </c>
      <c r="Q40" s="217">
        <v>121636.42444221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9195</v>
      </c>
      <c r="AU40" s="220">
        <v>0</v>
      </c>
      <c r="AV40" s="220">
        <v>96340</v>
      </c>
      <c r="AW40" s="297"/>
    </row>
    <row r="41" spans="1:49" s="5" customFormat="1" ht="25.5" x14ac:dyDescent="0.2">
      <c r="A41" s="35"/>
      <c r="B41" s="242" t="s">
        <v>257</v>
      </c>
      <c r="C41" s="203" t="s">
        <v>129</v>
      </c>
      <c r="D41" s="216">
        <v>146342</v>
      </c>
      <c r="E41" s="217">
        <v>146341.75</v>
      </c>
      <c r="F41" s="217"/>
      <c r="G41" s="217"/>
      <c r="H41" s="217"/>
      <c r="I41" s="216">
        <v>136846</v>
      </c>
      <c r="J41" s="216">
        <v>18250</v>
      </c>
      <c r="K41" s="217">
        <v>17621.654564953165</v>
      </c>
      <c r="L41" s="217"/>
      <c r="M41" s="217"/>
      <c r="N41" s="217"/>
      <c r="O41" s="216"/>
      <c r="P41" s="216">
        <v>8512</v>
      </c>
      <c r="Q41" s="217">
        <v>9140.0454350468335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26862</v>
      </c>
      <c r="AU41" s="220">
        <v>0</v>
      </c>
      <c r="AV41" s="220">
        <v>7188</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1328573</v>
      </c>
      <c r="E44" s="225">
        <v>1328573.3</v>
      </c>
      <c r="F44" s="225"/>
      <c r="G44" s="225"/>
      <c r="H44" s="225"/>
      <c r="I44" s="224">
        <v>1290641</v>
      </c>
      <c r="J44" s="224">
        <v>166526</v>
      </c>
      <c r="K44" s="225">
        <v>152263.91664070103</v>
      </c>
      <c r="L44" s="225"/>
      <c r="M44" s="225"/>
      <c r="N44" s="225"/>
      <c r="O44" s="224"/>
      <c r="P44" s="224">
        <v>265413</v>
      </c>
      <c r="Q44" s="225">
        <v>279675.04335929896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91662</v>
      </c>
      <c r="AU44" s="226">
        <v>0</v>
      </c>
      <c r="AV44" s="226">
        <v>82073</v>
      </c>
      <c r="AW44" s="296"/>
    </row>
    <row r="45" spans="1:49" x14ac:dyDescent="0.2">
      <c r="B45" s="245" t="s">
        <v>261</v>
      </c>
      <c r="C45" s="203" t="s">
        <v>19</v>
      </c>
      <c r="D45" s="216">
        <v>1243422</v>
      </c>
      <c r="E45" s="217">
        <v>1243422.3</v>
      </c>
      <c r="F45" s="217"/>
      <c r="G45" s="217"/>
      <c r="H45" s="217"/>
      <c r="I45" s="216">
        <v>1204428</v>
      </c>
      <c r="J45" s="216">
        <v>85741</v>
      </c>
      <c r="K45" s="217">
        <v>82634.796527764222</v>
      </c>
      <c r="L45" s="217"/>
      <c r="M45" s="217"/>
      <c r="N45" s="217"/>
      <c r="O45" s="216"/>
      <c r="P45" s="216">
        <v>44085</v>
      </c>
      <c r="Q45" s="217">
        <v>47191.153472235776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96979</v>
      </c>
      <c r="AU45" s="220">
        <v>0</v>
      </c>
      <c r="AV45" s="220">
        <v>34725</v>
      </c>
      <c r="AW45" s="297"/>
    </row>
    <row r="46" spans="1:49" x14ac:dyDescent="0.2">
      <c r="B46" s="245" t="s">
        <v>262</v>
      </c>
      <c r="C46" s="203" t="s">
        <v>20</v>
      </c>
      <c r="D46" s="216">
        <v>632120</v>
      </c>
      <c r="E46" s="217">
        <v>632119.56999999995</v>
      </c>
      <c r="F46" s="217"/>
      <c r="G46" s="217"/>
      <c r="H46" s="217"/>
      <c r="I46" s="216">
        <v>627219</v>
      </c>
      <c r="J46" s="216">
        <v>51168</v>
      </c>
      <c r="K46" s="217">
        <v>49378.717768014867</v>
      </c>
      <c r="L46" s="217"/>
      <c r="M46" s="217"/>
      <c r="N46" s="217"/>
      <c r="O46" s="216"/>
      <c r="P46" s="216">
        <v>24288</v>
      </c>
      <c r="Q46" s="217">
        <v>26076.912231985134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86036</v>
      </c>
      <c r="AU46" s="220">
        <v>0</v>
      </c>
      <c r="AV46" s="220">
        <v>18129</v>
      </c>
      <c r="AW46" s="297"/>
    </row>
    <row r="47" spans="1:49" x14ac:dyDescent="0.2">
      <c r="B47" s="245" t="s">
        <v>263</v>
      </c>
      <c r="C47" s="203" t="s">
        <v>21</v>
      </c>
      <c r="D47" s="216">
        <v>4439407</v>
      </c>
      <c r="E47" s="217">
        <v>4439406.78</v>
      </c>
      <c r="F47" s="217"/>
      <c r="G47" s="217"/>
      <c r="H47" s="217"/>
      <c r="I47" s="216">
        <v>4221975</v>
      </c>
      <c r="J47" s="216">
        <v>621497</v>
      </c>
      <c r="K47" s="217">
        <v>594927.97770544549</v>
      </c>
      <c r="L47" s="217"/>
      <c r="M47" s="217"/>
      <c r="N47" s="217"/>
      <c r="O47" s="216"/>
      <c r="P47" s="216">
        <v>390623</v>
      </c>
      <c r="Q47" s="217">
        <v>417192.30229455454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1652142</v>
      </c>
      <c r="AU47" s="220">
        <v>0</v>
      </c>
      <c r="AV47" s="220">
        <v>17932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86864.78</v>
      </c>
      <c r="E49" s="217">
        <v>86864.78</v>
      </c>
      <c r="F49" s="217"/>
      <c r="G49" s="217"/>
      <c r="H49" s="217"/>
      <c r="I49" s="216">
        <v>79183</v>
      </c>
      <c r="J49" s="216">
        <v>6100.37</v>
      </c>
      <c r="K49" s="217">
        <v>6094.5260588103729</v>
      </c>
      <c r="L49" s="217"/>
      <c r="M49" s="217"/>
      <c r="N49" s="217"/>
      <c r="O49" s="216"/>
      <c r="P49" s="216">
        <v>-7387.48</v>
      </c>
      <c r="Q49" s="217">
        <v>-7381.6360588103726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11181.78</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8476569</v>
      </c>
      <c r="E51" s="217">
        <v>8476569.1799999997</v>
      </c>
      <c r="F51" s="217"/>
      <c r="G51" s="217"/>
      <c r="H51" s="217"/>
      <c r="I51" s="216">
        <v>8043231</v>
      </c>
      <c r="J51" s="216">
        <v>683365</v>
      </c>
      <c r="K51" s="217">
        <v>658174.60073066712</v>
      </c>
      <c r="L51" s="217"/>
      <c r="M51" s="217"/>
      <c r="N51" s="217"/>
      <c r="O51" s="216"/>
      <c r="P51" s="216">
        <v>355314</v>
      </c>
      <c r="Q51" s="217">
        <v>380504.15926933289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549758</v>
      </c>
      <c r="AU51" s="220">
        <v>0</v>
      </c>
      <c r="AV51" s="220">
        <v>320918</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18439</v>
      </c>
      <c r="E56" s="229">
        <v>18439</v>
      </c>
      <c r="F56" s="229"/>
      <c r="G56" s="229"/>
      <c r="H56" s="229"/>
      <c r="I56" s="228">
        <v>17828</v>
      </c>
      <c r="J56" s="228">
        <v>1748</v>
      </c>
      <c r="K56" s="229">
        <v>1748</v>
      </c>
      <c r="L56" s="229"/>
      <c r="M56" s="229"/>
      <c r="N56" s="229"/>
      <c r="O56" s="228"/>
      <c r="P56" s="228">
        <v>1117</v>
      </c>
      <c r="Q56" s="229">
        <v>1117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28270</v>
      </c>
      <c r="AU56" s="230">
        <v>0</v>
      </c>
      <c r="AV56" s="230">
        <v>541</v>
      </c>
      <c r="AW56" s="288"/>
    </row>
    <row r="57" spans="2:49" x14ac:dyDescent="0.2">
      <c r="B57" s="245" t="s">
        <v>272</v>
      </c>
      <c r="C57" s="203" t="s">
        <v>25</v>
      </c>
      <c r="D57" s="231">
        <v>24360</v>
      </c>
      <c r="E57" s="232">
        <v>24360</v>
      </c>
      <c r="F57" s="232"/>
      <c r="G57" s="232"/>
      <c r="H57" s="232"/>
      <c r="I57" s="231">
        <v>23266</v>
      </c>
      <c r="J57" s="231">
        <v>2864</v>
      </c>
      <c r="K57" s="232">
        <v>2712</v>
      </c>
      <c r="L57" s="232"/>
      <c r="M57" s="232"/>
      <c r="N57" s="232"/>
      <c r="O57" s="231"/>
      <c r="P57" s="231">
        <v>1487</v>
      </c>
      <c r="Q57" s="232">
        <v>1639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47269</v>
      </c>
      <c r="AU57" s="233">
        <v>0</v>
      </c>
      <c r="AV57" s="233">
        <v>1167</v>
      </c>
      <c r="AW57" s="289"/>
    </row>
    <row r="58" spans="2:49" x14ac:dyDescent="0.2">
      <c r="B58" s="245" t="s">
        <v>273</v>
      </c>
      <c r="C58" s="203" t="s">
        <v>26</v>
      </c>
      <c r="D58" s="309"/>
      <c r="E58" s="310"/>
      <c r="F58" s="310"/>
      <c r="G58" s="310"/>
      <c r="H58" s="310"/>
      <c r="I58" s="309"/>
      <c r="J58" s="231">
        <v>256</v>
      </c>
      <c r="K58" s="232">
        <v>256</v>
      </c>
      <c r="L58" s="232"/>
      <c r="M58" s="232"/>
      <c r="N58" s="232"/>
      <c r="O58" s="231"/>
      <c r="P58" s="231">
        <v>30</v>
      </c>
      <c r="Q58" s="232">
        <v>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248</v>
      </c>
      <c r="AU58" s="233">
        <v>0</v>
      </c>
      <c r="AV58" s="233">
        <v>2</v>
      </c>
      <c r="AW58" s="289"/>
    </row>
    <row r="59" spans="2:49" x14ac:dyDescent="0.2">
      <c r="B59" s="245" t="s">
        <v>274</v>
      </c>
      <c r="C59" s="203" t="s">
        <v>27</v>
      </c>
      <c r="D59" s="231">
        <v>336465</v>
      </c>
      <c r="E59" s="232">
        <v>336079</v>
      </c>
      <c r="F59" s="232"/>
      <c r="G59" s="232"/>
      <c r="H59" s="232"/>
      <c r="I59" s="231">
        <v>321017</v>
      </c>
      <c r="J59" s="231">
        <v>33679</v>
      </c>
      <c r="K59" s="232">
        <v>32615</v>
      </c>
      <c r="L59" s="232"/>
      <c r="M59" s="232"/>
      <c r="N59" s="232"/>
      <c r="O59" s="231"/>
      <c r="P59" s="231">
        <v>15491</v>
      </c>
      <c r="Q59" s="232">
        <v>16638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585927</v>
      </c>
      <c r="AU59" s="233">
        <v>0</v>
      </c>
      <c r="AV59" s="233">
        <v>13572</v>
      </c>
      <c r="AW59" s="289"/>
    </row>
    <row r="60" spans="2:49" x14ac:dyDescent="0.2">
      <c r="B60" s="245" t="s">
        <v>275</v>
      </c>
      <c r="C60" s="203"/>
      <c r="D60" s="234">
        <f t="shared" ref="D60:AC60" si="0">D$59/12</f>
        <v>28038.75</v>
      </c>
      <c r="E60" s="235">
        <f t="shared" si="0"/>
        <v>28006.583333333332</v>
      </c>
      <c r="F60" s="235">
        <f t="shared" si="0"/>
        <v>0</v>
      </c>
      <c r="G60" s="235">
        <f t="shared" si="0"/>
        <v>0</v>
      </c>
      <c r="H60" s="235">
        <f t="shared" si="0"/>
        <v>0</v>
      </c>
      <c r="I60" s="234">
        <f t="shared" si="0"/>
        <v>26751.416666666668</v>
      </c>
      <c r="J60" s="234">
        <f t="shared" si="0"/>
        <v>2806.5833333333335</v>
      </c>
      <c r="K60" s="235">
        <f t="shared" si="0"/>
        <v>2717.9166666666665</v>
      </c>
      <c r="L60" s="235">
        <f t="shared" si="0"/>
        <v>0</v>
      </c>
      <c r="M60" s="235">
        <f t="shared" si="0"/>
        <v>0</v>
      </c>
      <c r="N60" s="235">
        <f t="shared" si="0"/>
        <v>0</v>
      </c>
      <c r="O60" s="234">
        <f t="shared" si="0"/>
        <v>0</v>
      </c>
      <c r="P60" s="234">
        <f t="shared" si="0"/>
        <v>1290.9166666666667</v>
      </c>
      <c r="Q60" s="235">
        <f t="shared" si="0"/>
        <v>1386.5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48827.25</v>
      </c>
      <c r="AU60" s="236">
        <f>AU$59/12</f>
        <v>0</v>
      </c>
      <c r="AV60" s="236">
        <f>AV$59/12</f>
        <v>1131</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150821567</v>
      </c>
      <c r="E5" s="326">
        <v>141591436.31772551</v>
      </c>
      <c r="F5" s="326"/>
      <c r="G5" s="328"/>
      <c r="H5" s="328"/>
      <c r="I5" s="325">
        <v>136493737</v>
      </c>
      <c r="J5" s="325">
        <v>11789776</v>
      </c>
      <c r="K5" s="326">
        <v>12533789.044826999</v>
      </c>
      <c r="L5" s="326"/>
      <c r="M5" s="326"/>
      <c r="N5" s="326"/>
      <c r="O5" s="325"/>
      <c r="P5" s="325">
        <v>6682312</v>
      </c>
      <c r="Q5" s="326">
        <v>7048126.1960899998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16187149</v>
      </c>
      <c r="AU5" s="327">
        <v>0</v>
      </c>
      <c r="AV5" s="369"/>
      <c r="AW5" s="373"/>
    </row>
    <row r="6" spans="2:49" x14ac:dyDescent="0.2">
      <c r="B6" s="343" t="s">
        <v>278</v>
      </c>
      <c r="C6" s="331" t="s">
        <v>8</v>
      </c>
      <c r="D6" s="318">
        <v>43092</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40543</v>
      </c>
      <c r="AU6" s="321">
        <v>0</v>
      </c>
      <c r="AV6" s="368"/>
      <c r="AW6" s="374"/>
    </row>
    <row r="7" spans="2:49" x14ac:dyDescent="0.2">
      <c r="B7" s="343" t="s">
        <v>279</v>
      </c>
      <c r="C7" s="331" t="s">
        <v>9</v>
      </c>
      <c r="D7" s="318">
        <v>37249</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38310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8108728</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3674521</v>
      </c>
      <c r="E11" s="319"/>
      <c r="F11" s="319"/>
      <c r="G11" s="319"/>
      <c r="H11" s="319"/>
      <c r="I11" s="318">
        <v>0</v>
      </c>
      <c r="J11" s="318">
        <v>6521</v>
      </c>
      <c r="K11" s="319"/>
      <c r="L11" s="319"/>
      <c r="M11" s="319"/>
      <c r="N11" s="319"/>
      <c r="O11" s="318"/>
      <c r="P11" s="318">
        <v>11374</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10191555</v>
      </c>
      <c r="E12" s="363"/>
      <c r="F12" s="363"/>
      <c r="G12" s="363"/>
      <c r="H12" s="363"/>
      <c r="I12" s="365"/>
      <c r="J12" s="318">
        <v>355339</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18775352.59</v>
      </c>
      <c r="F15" s="319"/>
      <c r="G15" s="319"/>
      <c r="H15" s="319"/>
      <c r="I15" s="318">
        <v>18775353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13191678.23</v>
      </c>
      <c r="F16" s="319"/>
      <c r="G16" s="319"/>
      <c r="H16" s="319"/>
      <c r="I16" s="318">
        <v>13191678</v>
      </c>
      <c r="J16" s="318"/>
      <c r="K16" s="319">
        <v>-52010.25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-3847827</v>
      </c>
      <c r="AU19" s="321">
        <v>0</v>
      </c>
      <c r="AV19" s="368"/>
      <c r="AW19" s="374"/>
    </row>
    <row r="20" spans="2:49" s="5" customFormat="1" ht="25.5" x14ac:dyDescent="0.2">
      <c r="B20" s="345" t="s">
        <v>430</v>
      </c>
      <c r="C20" s="331"/>
      <c r="D20" s="318"/>
      <c r="E20" s="319">
        <v>108733319.59999999</v>
      </c>
      <c r="F20" s="319"/>
      <c r="G20" s="319"/>
      <c r="H20" s="319"/>
      <c r="I20" s="318">
        <v>108734501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131843200</v>
      </c>
      <c r="E23" s="362"/>
      <c r="F23" s="362"/>
      <c r="G23" s="362"/>
      <c r="H23" s="362"/>
      <c r="I23" s="364"/>
      <c r="J23" s="318">
        <v>9617078</v>
      </c>
      <c r="K23" s="362"/>
      <c r="L23" s="362"/>
      <c r="M23" s="362"/>
      <c r="N23" s="362"/>
      <c r="O23" s="364"/>
      <c r="P23" s="318">
        <v>4595250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10456388</v>
      </c>
      <c r="AU23" s="321">
        <v>0</v>
      </c>
      <c r="AV23" s="368"/>
      <c r="AW23" s="374"/>
    </row>
    <row r="24" spans="2:49" ht="28.5" customHeight="1" x14ac:dyDescent="0.2">
      <c r="B24" s="345" t="s">
        <v>114</v>
      </c>
      <c r="C24" s="331"/>
      <c r="D24" s="365"/>
      <c r="E24" s="319">
        <v>142533271.94</v>
      </c>
      <c r="F24" s="319"/>
      <c r="G24" s="319"/>
      <c r="H24" s="319"/>
      <c r="I24" s="318">
        <v>139305871</v>
      </c>
      <c r="J24" s="365"/>
      <c r="K24" s="319">
        <v>9526139.4900000002</v>
      </c>
      <c r="L24" s="319"/>
      <c r="M24" s="319"/>
      <c r="N24" s="319"/>
      <c r="O24" s="318"/>
      <c r="P24" s="365"/>
      <c r="Q24" s="319">
        <v>5310622.68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21444568</v>
      </c>
      <c r="E26" s="362"/>
      <c r="F26" s="362"/>
      <c r="G26" s="362"/>
      <c r="H26" s="362"/>
      <c r="I26" s="364"/>
      <c r="J26" s="318">
        <v>1206740</v>
      </c>
      <c r="K26" s="362"/>
      <c r="L26" s="362"/>
      <c r="M26" s="362"/>
      <c r="N26" s="362"/>
      <c r="O26" s="364"/>
      <c r="P26" s="318">
        <v>747144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2179712</v>
      </c>
      <c r="AU26" s="321">
        <v>0</v>
      </c>
      <c r="AV26" s="368"/>
      <c r="AW26" s="374"/>
    </row>
    <row r="27" spans="2:49" s="5" customFormat="1" ht="25.5" x14ac:dyDescent="0.2">
      <c r="B27" s="345" t="s">
        <v>85</v>
      </c>
      <c r="C27" s="331"/>
      <c r="D27" s="365"/>
      <c r="E27" s="319">
        <v>5476329.277999999</v>
      </c>
      <c r="F27" s="319"/>
      <c r="G27" s="319"/>
      <c r="H27" s="319"/>
      <c r="I27" s="318">
        <v>5415539</v>
      </c>
      <c r="J27" s="365"/>
      <c r="K27" s="319">
        <v>102185.57513200614</v>
      </c>
      <c r="L27" s="319"/>
      <c r="M27" s="319"/>
      <c r="N27" s="319"/>
      <c r="O27" s="318"/>
      <c r="P27" s="365"/>
      <c r="Q27" s="319">
        <v>88762.559867993798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24278830</v>
      </c>
      <c r="E28" s="363"/>
      <c r="F28" s="363"/>
      <c r="G28" s="363"/>
      <c r="H28" s="363"/>
      <c r="I28" s="365"/>
      <c r="J28" s="318">
        <v>905755</v>
      </c>
      <c r="K28" s="363"/>
      <c r="L28" s="363"/>
      <c r="M28" s="363"/>
      <c r="N28" s="363"/>
      <c r="O28" s="365"/>
      <c r="P28" s="318">
        <v>389012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977691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8657</v>
      </c>
      <c r="K30" s="362"/>
      <c r="L30" s="362"/>
      <c r="M30" s="362"/>
      <c r="N30" s="362"/>
      <c r="O30" s="364"/>
      <c r="P30" s="318">
        <v>16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-7460.21</v>
      </c>
      <c r="L31" s="319"/>
      <c r="M31" s="319"/>
      <c r="N31" s="319"/>
      <c r="O31" s="318"/>
      <c r="P31" s="365"/>
      <c r="Q31" s="319">
        <v>-9.9700000000000006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16117</v>
      </c>
      <c r="K32" s="363"/>
      <c r="L32" s="363"/>
      <c r="M32" s="363"/>
      <c r="N32" s="363"/>
      <c r="O32" s="365"/>
      <c r="P32" s="318">
        <v>26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358983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274003</v>
      </c>
      <c r="AU34" s="321">
        <v>0</v>
      </c>
      <c r="AV34" s="368"/>
      <c r="AW34" s="374"/>
    </row>
    <row r="35" spans="2:49" s="5" customFormat="1" x14ac:dyDescent="0.2">
      <c r="B35" s="345" t="s">
        <v>91</v>
      </c>
      <c r="C35" s="331"/>
      <c r="D35" s="365"/>
      <c r="E35" s="319">
        <v>358983.43</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2953909</v>
      </c>
      <c r="E36" s="319">
        <v>2953909.32</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8108728</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3674521</v>
      </c>
      <c r="E41" s="362"/>
      <c r="F41" s="362"/>
      <c r="G41" s="362"/>
      <c r="H41" s="362"/>
      <c r="I41" s="364"/>
      <c r="J41" s="318">
        <v>6521</v>
      </c>
      <c r="K41" s="362"/>
      <c r="L41" s="362"/>
      <c r="M41" s="362"/>
      <c r="N41" s="362"/>
      <c r="O41" s="364"/>
      <c r="P41" s="318">
        <v>11374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10191555</v>
      </c>
      <c r="E43" s="363"/>
      <c r="F43" s="363"/>
      <c r="G43" s="363"/>
      <c r="H43" s="363"/>
      <c r="I43" s="365"/>
      <c r="J43" s="318">
        <v>355339</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3047429</v>
      </c>
      <c r="E45" s="319">
        <v>3052398</v>
      </c>
      <c r="F45" s="319"/>
      <c r="G45" s="319"/>
      <c r="H45" s="319"/>
      <c r="I45" s="318">
        <v>3052398</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3052398</v>
      </c>
      <c r="E46" s="319">
        <v>-0.06</v>
      </c>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702488</v>
      </c>
      <c r="E49" s="319">
        <v>2384722.59</v>
      </c>
      <c r="F49" s="319"/>
      <c r="G49" s="319"/>
      <c r="H49" s="319"/>
      <c r="I49" s="318">
        <v>2291225</v>
      </c>
      <c r="J49" s="318">
        <v>125330</v>
      </c>
      <c r="K49" s="319">
        <v>298854.16112569586</v>
      </c>
      <c r="L49" s="319"/>
      <c r="M49" s="319"/>
      <c r="N49" s="319"/>
      <c r="O49" s="318"/>
      <c r="P49" s="318">
        <v>18737</v>
      </c>
      <c r="Q49" s="319">
        <v>139268.2888743041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-415</v>
      </c>
      <c r="AU49" s="321">
        <v>0</v>
      </c>
      <c r="AV49" s="368"/>
      <c r="AW49" s="374"/>
    </row>
    <row r="50" spans="2:49" x14ac:dyDescent="0.2">
      <c r="B50" s="343" t="s">
        <v>119</v>
      </c>
      <c r="C50" s="331" t="s">
        <v>34</v>
      </c>
      <c r="D50" s="318">
        <v>212876</v>
      </c>
      <c r="E50" s="363"/>
      <c r="F50" s="363"/>
      <c r="G50" s="363"/>
      <c r="H50" s="363"/>
      <c r="I50" s="365"/>
      <c r="J50" s="318">
        <v>51046</v>
      </c>
      <c r="K50" s="363"/>
      <c r="L50" s="363"/>
      <c r="M50" s="363"/>
      <c r="N50" s="363"/>
      <c r="O50" s="365"/>
      <c r="P50" s="318">
        <v>22557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290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133615921</v>
      </c>
      <c r="E54" s="323">
        <f>E24+E27+E31+E35-E36+E39+E42+E45+E46-E49+E51+E52+E53</f>
        <v>146082350.678</v>
      </c>
      <c r="F54" s="323">
        <f>F24+F27+F31+F35-F36+F39+F42+F45+F46-F49+F51+F52+F53</f>
        <v>0</v>
      </c>
      <c r="G54" s="323">
        <f>G24+G27+G31+G35-G36+G39+G42+G45+G46-G49+G51+G52+G53</f>
        <v>0</v>
      </c>
      <c r="H54" s="323">
        <f>H24+H27+H31+H35-H36+H39+H42+H45+H46-H49+H51+H52+H53</f>
        <v>0</v>
      </c>
      <c r="I54" s="322">
        <f>I24+I27+I31+I35-I36+I39+I42+I45+I46-I49+I51+I52+I53</f>
        <v>145482583</v>
      </c>
      <c r="J54" s="322">
        <f>J23+J26-J28+J30-J32+J34-J36+J38+J41-J43+J45+J46-J47-J49+J50+J51+J52+J53</f>
        <v>9487501</v>
      </c>
      <c r="K54" s="323">
        <f>K24+K27+K31+K35-K36+K39+K42+K45+K46-K49+K51+K52+K53</f>
        <v>9322010.6940063108</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4968566</v>
      </c>
      <c r="Q54" s="323">
        <f>Q24+Q27+Q31+Q35-Q36+Q39+Q42+Q45+Q46-Q49+Q51+Q52+Q53</f>
        <v>5260106.98099369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11933117</v>
      </c>
      <c r="AU54" s="324">
        <f>AU23+AU26-AU28+AU30-AU32+AU34-AU36+AU38+AU41-AU43+AU45+AU46-AU47-AU49+AU50+AU51+AU52+AU53</f>
        <v>0</v>
      </c>
      <c r="AV54" s="368"/>
      <c r="AW54" s="374"/>
    </row>
    <row r="55" spans="2:49" ht="25.5" x14ac:dyDescent="0.2">
      <c r="B55" s="348" t="s">
        <v>493</v>
      </c>
      <c r="C55" s="335" t="s">
        <v>28</v>
      </c>
      <c r="D55" s="322">
        <f t="shared" ref="D55:AC55" si="0">MIN(MAX(0,D56),MAX(0,D57))</f>
        <v>179448.71</v>
      </c>
      <c r="E55" s="323">
        <f t="shared" si="0"/>
        <v>179448.71</v>
      </c>
      <c r="F55" s="323">
        <f t="shared" si="0"/>
        <v>0</v>
      </c>
      <c r="G55" s="323">
        <f t="shared" si="0"/>
        <v>0</v>
      </c>
      <c r="H55" s="323">
        <f t="shared" si="0"/>
        <v>0</v>
      </c>
      <c r="I55" s="322">
        <f t="shared" si="0"/>
        <v>173304</v>
      </c>
      <c r="J55" s="322">
        <f t="shared" si="0"/>
        <v>12956</v>
      </c>
      <c r="K55" s="323">
        <f t="shared" si="0"/>
        <v>12956.23</v>
      </c>
      <c r="L55" s="323">
        <f t="shared" si="0"/>
        <v>0</v>
      </c>
      <c r="M55" s="323">
        <f t="shared" si="0"/>
        <v>0</v>
      </c>
      <c r="N55" s="323">
        <f t="shared" si="0"/>
        <v>0</v>
      </c>
      <c r="O55" s="322">
        <f t="shared" si="0"/>
        <v>0</v>
      </c>
      <c r="P55" s="322">
        <f t="shared" si="0"/>
        <v>8549.0300000000007</v>
      </c>
      <c r="Q55" s="323">
        <f t="shared" si="0"/>
        <v>9175.8828021147474</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179448.71</v>
      </c>
      <c r="E56" s="319">
        <v>179448.71</v>
      </c>
      <c r="F56" s="319"/>
      <c r="G56" s="319"/>
      <c r="H56" s="319"/>
      <c r="I56" s="318">
        <v>173304</v>
      </c>
      <c r="J56" s="318">
        <v>17876.02</v>
      </c>
      <c r="K56" s="319">
        <v>17249.167197885254</v>
      </c>
      <c r="L56" s="319"/>
      <c r="M56" s="319"/>
      <c r="N56" s="319"/>
      <c r="O56" s="318"/>
      <c r="P56" s="318">
        <v>8549.0300000000007</v>
      </c>
      <c r="Q56" s="319">
        <v>9175.8828021147474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520348</v>
      </c>
      <c r="E57" s="319">
        <v>520347.68</v>
      </c>
      <c r="F57" s="319"/>
      <c r="G57" s="319"/>
      <c r="H57" s="319"/>
      <c r="I57" s="318">
        <v>516954</v>
      </c>
      <c r="J57" s="318">
        <v>12956</v>
      </c>
      <c r="K57" s="319">
        <v>12956.23</v>
      </c>
      <c r="L57" s="319"/>
      <c r="M57" s="319"/>
      <c r="N57" s="319"/>
      <c r="O57" s="318"/>
      <c r="P57" s="318">
        <v>23600</v>
      </c>
      <c r="Q57" s="319">
        <v>23600.42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3654</v>
      </c>
      <c r="AU57" s="321">
        <v>0</v>
      </c>
      <c r="AV57" s="321">
        <v>0</v>
      </c>
      <c r="AW57" s="374"/>
    </row>
    <row r="58" spans="2:49" s="5" customFormat="1" x14ac:dyDescent="0.2">
      <c r="B58" s="351" t="s">
        <v>494</v>
      </c>
      <c r="C58" s="352"/>
      <c r="D58" s="353"/>
      <c r="E58" s="354">
        <v>18397131.420000002</v>
      </c>
      <c r="F58" s="354"/>
      <c r="G58" s="354"/>
      <c r="H58" s="354"/>
      <c r="I58" s="353">
        <v>14670192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35" sqref="F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10722211.59</v>
      </c>
      <c r="D5" s="403">
        <v>149075119.16999999</v>
      </c>
      <c r="E5" s="454"/>
      <c r="F5" s="454"/>
      <c r="G5" s="448"/>
      <c r="H5" s="402">
        <v>9640143.8599999994</v>
      </c>
      <c r="I5" s="403">
        <v>9342676.9000000004</v>
      </c>
      <c r="J5" s="454"/>
      <c r="K5" s="454"/>
      <c r="L5" s="448"/>
      <c r="M5" s="402">
        <v>5056196.07</v>
      </c>
      <c r="N5" s="403">
        <v>4425610.4000000004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10712796.7785</v>
      </c>
      <c r="D6" s="398">
        <v>146847368.8215</v>
      </c>
      <c r="E6" s="400">
        <f>SUM('Pt 1 Summary of Data'!E$12,'Pt 1 Summary of Data'!E$22)+SUM('Pt 1 Summary of Data'!G$12,'Pt 1 Summary of Data'!G$22)-SUM('Pt 1 Summary of Data'!H$12,'Pt 1 Summary of Data'!H$22)</f>
        <v>146261799.38800001</v>
      </c>
      <c r="F6" s="400">
        <f t="shared" ref="F6:F11" si="0">SUM(C6:E6)</f>
        <v>303821964.98800004</v>
      </c>
      <c r="G6" s="401">
        <f>SUM('Pt 1 Summary of Data'!I$12,'Pt 1 Summary of Data'!I$22)</f>
        <v>145655887</v>
      </c>
      <c r="H6" s="397">
        <v>9605032.1001970172</v>
      </c>
      <c r="I6" s="398">
        <v>9229377.8703383021</v>
      </c>
      <c r="J6" s="400">
        <f>SUM('Pt 1 Summary of Data'!K$12,'Pt 1 Summary of Data'!K$22)+SUM('Pt 1 Summary of Data'!M$12,'Pt 1 Summary of Data'!M$22)-SUM('Pt 1 Summary of Data'!N$12,'Pt 1 Summary of Data'!N$22)</f>
        <v>9334966.9240063112</v>
      </c>
      <c r="K6" s="400">
        <f>SUM(H6:J6)</f>
        <v>28169376.894541629</v>
      </c>
      <c r="L6" s="401">
        <f>SUM('Pt 1 Summary of Data'!O$12,'Pt 1 Summary of Data'!O$22)</f>
        <v>0</v>
      </c>
      <c r="M6" s="397">
        <v>5071322.4543387331</v>
      </c>
      <c r="N6" s="398">
        <v>4439652.4607162494</v>
      </c>
      <c r="O6" s="400">
        <f>SUM('Pt 1 Summary of Data'!Q$12,'Pt 1 Summary of Data'!Q$22)+SUM('Pt 1 Summary of Data'!S$12,'Pt 1 Summary of Data'!S$22)-SUM('Pt 1 Summary of Data'!T$12,'Pt 1 Summary of Data'!T$22)</f>
        <v>5269282.8637958048</v>
      </c>
      <c r="P6" s="400">
        <f>SUM(M6:O6)</f>
        <v>14780257.778850786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324377.03000000003</v>
      </c>
      <c r="D7" s="398">
        <v>1331072.42</v>
      </c>
      <c r="E7" s="400">
        <f>SUM('Pt 1 Summary of Data'!E$37:E$41)+SUM('Pt 1 Summary of Data'!G$37:G$41)-SUM('Pt 1 Summary of Data'!H$37:H$41)+MAX(0,MIN('Pt 1 Summary of Data'!E$42+'Pt 1 Summary of Data'!G$42-'Pt 1 Summary of Data'!H$42,0.3%*('Pt 1 Summary of Data'!E$5+'Pt 1 Summary of Data'!G$5-'Pt 1 Summary of Data'!H$5-SUM(E$9:E$11))))</f>
        <v>1377739.51</v>
      </c>
      <c r="F7" s="400">
        <f t="shared" si="0"/>
        <v>3033188.96</v>
      </c>
      <c r="G7" s="401">
        <f>SUM('Pt 1 Summary of Data'!I$37:I$41)+MAX(0,MIN(VALUE('Pt 1 Summary of Data'!I$42),0.3%*('Pt 1 Summary of Data'!I$5-SUM(G$9:G$10))))</f>
        <v>1251581</v>
      </c>
      <c r="H7" s="397">
        <v>260854.54</v>
      </c>
      <c r="I7" s="398">
        <v>243924.85</v>
      </c>
      <c r="J7" s="400">
        <f>SUM('Pt 1 Summary of Data'!K$37:K$41)+SUM('Pt 1 Summary of Data'!M$37:M$41)-SUM('Pt 1 Summary of Data'!N$37:N$41)+MAX(0,MIN('Pt 1 Summary of Data'!K$42+'Pt 1 Summary of Data'!M$42-'Pt 1 Summary of Data'!N$42,0.3%*('Pt 1 Summary of Data'!K$5+'Pt 1 Summary of Data'!M$5-'Pt 1 Summary of Data'!N$5-SUM(J$10:J$11))))</f>
        <v>158853.72331275817</v>
      </c>
      <c r="K7" s="400">
        <f>SUM(H7:J7)</f>
        <v>663633.11331275816</v>
      </c>
      <c r="L7" s="401">
        <f>SUM('Pt 1 Summary of Data'!O$37:O$41)+MAX(0,MIN(VALUE('Pt 1 Summary of Data'!O$42),0.3%*('Pt 1 Summary of Data'!O$5-L$10)))</f>
        <v>0</v>
      </c>
      <c r="M7" s="397">
        <v>116034.17</v>
      </c>
      <c r="N7" s="398">
        <v>130801.74</v>
      </c>
      <c r="O7" s="400">
        <f>SUM('Pt 1 Summary of Data'!Q$37:Q$41)+SUM('Pt 1 Summary of Data'!S$37:S$41)-SUM('Pt 1 Summary of Data'!T$37:T$41)+MAX(0,MIN('Pt 1 Summary of Data'!Q$42+'Pt 1 Summary of Data'!S$42-'Pt 1 Summary of Data'!T$42,0.3%*('Pt 1 Summary of Data'!Q$5+'Pt 1 Summary of Data'!S$5-'Pt 1 Summary of Data'!T$5)))</f>
        <v>354037.47668724187</v>
      </c>
      <c r="P7" s="400">
        <f>SUM(M7:O7)</f>
        <v>600873.38668724184</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19673799.27</v>
      </c>
      <c r="E8" s="400">
        <f>'Pt 2 Premium and Claims'!E58+'Pt 2 Premium and Claims'!G58-'Pt 2 Premium and Claims'!H58</f>
        <v>18397131.420000002</v>
      </c>
      <c r="F8" s="400">
        <f t="shared" si="0"/>
        <v>38070930.689999998</v>
      </c>
      <c r="G8" s="401">
        <f>'Pt 2 Premium and Claims'!I58</f>
        <v>14670192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24487153.98</v>
      </c>
      <c r="E9" s="400">
        <f>'Pt 2 Premium and Claims'!E$15+'Pt 2 Premium and Claims'!G$15-'Pt 2 Premium and Claims'!H$15</f>
        <v>18775352.59</v>
      </c>
      <c r="F9" s="400">
        <f t="shared" si="0"/>
        <v>43262506.57</v>
      </c>
      <c r="G9" s="401">
        <f>'Pt 2 Premium and Claims'!I$15</f>
        <v>18775353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1064234.77</v>
      </c>
      <c r="E10" s="400">
        <f>'Pt 2 Premium and Claims'!E$16+'Pt 2 Premium and Claims'!G$16-'Pt 2 Premium and Claims'!H$16</f>
        <v>13191678.23</v>
      </c>
      <c r="F10" s="400">
        <f t="shared" si="0"/>
        <v>14255913</v>
      </c>
      <c r="G10" s="401">
        <f>'Pt 2 Premium and Claims'!I$16</f>
        <v>13191678</v>
      </c>
      <c r="H10" s="443"/>
      <c r="I10" s="398">
        <v>-492484.94</v>
      </c>
      <c r="J10" s="400">
        <f>'Pt 2 Premium and Claims'!K$16+'Pt 2 Premium and Claims'!M$16-'Pt 2 Premium and Claims'!N$16</f>
        <v>-52010.25</v>
      </c>
      <c r="K10" s="400">
        <f>SUM(H10:J10)</f>
        <v>-544495.18999999994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-900401</v>
      </c>
      <c r="E11" s="400">
        <f>'Pt 2 Premium and Claims'!E$17+'Pt 2 Premium and Claims'!G$17-'Pt 2 Premium and Claims'!H$17</f>
        <v>0</v>
      </c>
      <c r="F11" s="400">
        <f t="shared" si="0"/>
        <v>-900401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11037173.808499999</v>
      </c>
      <c r="D12" s="400">
        <f>SUM(D$6:D$7) - SUM(D$8:D$11)+IF(AND(OR('Company Information'!$C$12="District of Columbia",'Company Information'!$C$12="Massachusetts",'Company Information'!$C$12="Vermont"),SUM($C$6:$F$11,$C$15:$F$16,$C$38:$D$38)&lt;&gt;0),SUM(I$6:I$7) - SUM(I$10:I$11),0)</f>
        <v>103853654.22149998</v>
      </c>
      <c r="E12" s="400">
        <f>SUM(E$6:E$7)-SUM(E$8:E$11)+IF(AND(OR('Company Information'!$C$12="District of Columbia",'Company Information'!$C$12="Massachusetts",'Company Information'!$C$12="Vermont"),SUM($C$6:$F$11,$C$15:$F$16,$C$38:$D$38)&lt;&gt;0),SUM(J$6:J$7)-SUM(J$10:J$11),0)</f>
        <v>97275376.657999992</v>
      </c>
      <c r="F12" s="400">
        <f>IFERROR(SUM(C$12:E$12)+C$17*MAX(0,E$50-C$50)+D$17*MAX(0,E$50-D$50),0)</f>
        <v>212166204.68799996</v>
      </c>
      <c r="G12" s="447"/>
      <c r="H12" s="399">
        <f>SUM(H$6:H$7)+IF(AND(OR('Company Information'!$C$12="District of Columbia",'Company Information'!$C$12="Massachusetts",'Company Information'!$C$12="Vermont"),SUM($H$6:$K$11,$H$15:$K$16,$H$38:$I$38)&lt;&gt;0),SUM(C$6:C$7),0)</f>
        <v>9865886.6401970163</v>
      </c>
      <c r="I12" s="400">
        <f>SUM(I$6:I$7) - SUM(I$10:I$11)+IF(AND(OR('Company Information'!$C$12="District of Columbia",'Company Information'!$C$12="Massachusetts",'Company Information'!$C$12="Vermont"),SUM($H$6:$K$11,$H$15:$K$16,$H$38:$I$38)&lt;&gt;0),SUM(D$6:D$7) - SUM(D$8:D$11),0)</f>
        <v>9965787.6603383012</v>
      </c>
      <c r="J12" s="400">
        <f>SUM(J$6:J$7)-SUM(J$10:J$11)+IF(AND(OR('Company Information'!$C$12="District of Columbia",'Company Information'!$C$12="Massachusetts",'Company Information'!$C$12="Vermont"),SUM($H$6:$K$11,$H$15:$K$16,$H$38:$I$38)&lt;&gt;0),SUM(E$6:E$7)-SUM(E$8:E$11),0)</f>
        <v>9545830.8973190691</v>
      </c>
      <c r="K12" s="400">
        <f>IFERROR(SUM(H$12:J$12)+H$17*MAX(0,J$50-H$50)+I$17*MAX(0,J$50-I$50),0)</f>
        <v>29377505.197854385</v>
      </c>
      <c r="L12" s="447"/>
      <c r="M12" s="399">
        <f>SUM(M$6:M$7)</f>
        <v>5187356.624338733</v>
      </c>
      <c r="N12" s="400">
        <f>SUM(N$6:N$7)</f>
        <v>4570454.2007162496</v>
      </c>
      <c r="O12" s="400">
        <f>SUM(O$6:O$7)</f>
        <v>5623320.3404830471</v>
      </c>
      <c r="P12" s="400">
        <f>SUM(M$12:O$12)+M$17*MAX(0,O$50-M$50)+N$17*MAX(0,O$50-N$50)</f>
        <v>15381131.16553803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18586607.739999998</v>
      </c>
      <c r="D15" s="403">
        <v>152301359.34</v>
      </c>
      <c r="E15" s="395">
        <f>SUM('Pt 1 Summary of Data'!E$5:E$7)+SUM('Pt 1 Summary of Data'!G$5:G$7)-SUM('Pt 1 Summary of Data'!H$5:H$7)-SUM(E$9:E$11)</f>
        <v>141580995.56772551</v>
      </c>
      <c r="F15" s="395">
        <f>SUM(C15:E15)</f>
        <v>312468962.64772552</v>
      </c>
      <c r="G15" s="396">
        <f>SUM('Pt 1 Summary of Data'!I$5:I$7)-SUM(G$9:G$10)</f>
        <v>136493737</v>
      </c>
      <c r="H15" s="402">
        <v>13184867.529999999</v>
      </c>
      <c r="I15" s="403">
        <v>13478746.789999999</v>
      </c>
      <c r="J15" s="395">
        <f>SUM('Pt 1 Summary of Data'!K$5:K$7)+SUM('Pt 1 Summary of Data'!M$5:M$7)-SUM('Pt 1 Summary of Data'!N$5:N$7)-SUM(J$10:J$11)</f>
        <v>12527933.214826999</v>
      </c>
      <c r="K15" s="395">
        <f>SUM(H15:J15)</f>
        <v>39191547.534827001</v>
      </c>
      <c r="L15" s="396">
        <f>SUM('Pt 1 Summary of Data'!O$5:O$7)-L$10</f>
        <v>0</v>
      </c>
      <c r="M15" s="402">
        <v>5759973.3399999999</v>
      </c>
      <c r="N15" s="403">
        <v>6544372.1500000004</v>
      </c>
      <c r="O15" s="395">
        <f>SUM('Pt 1 Summary of Data'!Q$5:Q$7)+SUM('Pt 1 Summary of Data'!S$5:S$7)-SUM('Pt 1 Summary of Data'!T$5:T$7)+N$56</f>
        <v>7033414.3560899999</v>
      </c>
      <c r="P15" s="395">
        <f>SUM(M15:O15)</f>
        <v>19337759.84609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1592138.9</v>
      </c>
      <c r="D16" s="398">
        <v>18813900.059999999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16139828.596534692</v>
      </c>
      <c r="F16" s="400">
        <f>SUM(C16:E16)</f>
        <v>36545867.556534693</v>
      </c>
      <c r="G16" s="401">
        <f>SUM('Pt 1 Summary of Data'!I$25:I$28,'Pt 1 Summary of Data'!I$30,'Pt 1 Summary of Data'!I$34:I$35)+IF('Company Information'!$C$15="No",IF(MAX('Pt 1 Summary of Data'!I$31:I$32)=0,MIN('Pt 1 Summary of Data'!I$31:I$32),MAX('Pt 1 Summary of Data'!I$31:I$32)),SUM('Pt 1 Summary of Data'!I$31:I$32))</f>
        <v>14672651</v>
      </c>
      <c r="H16" s="397">
        <v>627398.43999999994</v>
      </c>
      <c r="I16" s="398">
        <v>941801.26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882562.80847843795</v>
      </c>
      <c r="K16" s="400">
        <f>SUM(H16:J16)</f>
        <v>2451762.508478438</v>
      </c>
      <c r="L16" s="401">
        <f>SUM('Pt 1 Summary of Data'!O$25:O$28,'Pt 1 Summary of Data'!O$30,'Pt 1 Summary of Data'!O$34:O$35)+IF('Company Information'!$C$15="No",IF(MAX('Pt 1 Summary of Data'!O$31:O$32)=0,MIN('Pt 1 Summary of Data'!O$31:O$32),MAX('Pt 1 Summary of Data'!O$31:O$32)),SUM('Pt 1 Summary of Data'!O$31:O$32))</f>
        <v>0</v>
      </c>
      <c r="M16" s="397">
        <v>-57796.52</v>
      </c>
      <c r="N16" s="398">
        <v>441470.05</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-102377.34491813654</v>
      </c>
      <c r="P16" s="400">
        <f>SUM(M16:O16)</f>
        <v>281296.18508186343</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16994468.84</v>
      </c>
      <c r="D17" s="400">
        <f>D$15-D$16+IF(AND(OR('Company Information'!$C$12="District of Columbia",'Company Information'!$C$12="Massachusetts",'Company Information'!$C$12="Vermont"),SUM($C$6:$F$11,$C$15:$F$16,$C$38:$D$38)&lt;&gt;0),I$15-I$16,0)</f>
        <v>133487459.28</v>
      </c>
      <c r="E17" s="400">
        <f>E$15-E$16+IF(AND(OR('Company Information'!$C$12="District of Columbia",'Company Information'!$C$12="Massachusetts",'Company Information'!$C$12="Vermont"),SUM($C$6:$F$11,$C$15:$F$16,$C$38:$D$38)&lt;&gt;0),J$15-J$16,0)</f>
        <v>125441166.97119081</v>
      </c>
      <c r="F17" s="400">
        <f>F$15-F$16+IF(AND(OR('Company Information'!$C$12="District of Columbia",'Company Information'!$C$12="Massachusetts",'Company Information'!$C$12="Vermont"),SUM($C$6:$F$11,$C$15:$F$16,$C$38:$D$38)&lt;&gt;0),K$15-K$16,0)</f>
        <v>275923095.09119081</v>
      </c>
      <c r="G17" s="450"/>
      <c r="H17" s="399">
        <f>H$15-H$16+IF(AND(OR('Company Information'!$C$12="District of Columbia",'Company Information'!$C$12="Massachusetts",'Company Information'!$C$12="Vermont"),SUM($H$6:$K$11,$H$15:$K$16,$H$38:$I$38)&lt;&gt;0),C$15-C$16,0)</f>
        <v>12557469.09</v>
      </c>
      <c r="I17" s="400">
        <f>I$15-I$16+IF(AND(OR('Company Information'!$C$12="District of Columbia",'Company Information'!$C$12="Massachusetts",'Company Information'!$C$12="Vermont"),SUM($H$6:$K$11,$H$15:$K$16,$H$38:$I$38)&lt;&gt;0),D$15-D$16,0)</f>
        <v>12536945.529999999</v>
      </c>
      <c r="J17" s="400">
        <f>J$15-J$16+IF(AND(OR('Company Information'!$C$12="District of Columbia",'Company Information'!$C$12="Massachusetts",'Company Information'!$C$12="Vermont"),SUM($H$6:$K$11,$H$15:$K$16,$H$38:$I$38)&lt;&gt;0),E$15-E$16,0)</f>
        <v>11645370.406348562</v>
      </c>
      <c r="K17" s="400">
        <f>K$15-K$16+IF(AND(OR('Company Information'!$C$12="District of Columbia",'Company Information'!$C$12="Massachusetts",'Company Information'!$C$12="Vermont"),SUM($H$6:$K$11,$H$15:$K$16,$H$38:$I$38)&lt;&gt;0),F$15-F$16,0)</f>
        <v>36739785.026348561</v>
      </c>
      <c r="L17" s="450"/>
      <c r="M17" s="399">
        <f>M$15-M$16</f>
        <v>5817769.8599999994</v>
      </c>
      <c r="N17" s="400">
        <f>N$15-N$16</f>
        <v>6102902.1000000006</v>
      </c>
      <c r="O17" s="400">
        <f>O$15-O$16</f>
        <v>7135791.7010081364</v>
      </c>
      <c r="P17" s="400">
        <f>P$15-P$16</f>
        <v>19056463.661008138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98796914</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15466677</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7557495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7557495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6091054.3000000007</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3654632.58</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37696823</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37696823</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41473289.920000002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98796914</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37696823</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7557495</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37696823</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39036868.200000003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98796914</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7309</v>
      </c>
      <c r="D38" s="405">
        <v>32504.67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28006.583333333332</v>
      </c>
      <c r="F38" s="432">
        <f>SUM(C$38:E$38)+IF(AND(OR('Company Information'!$C$12="District of Columbia",'Company Information'!$C$12="Massachusetts",'Company Information'!$C$12="Vermont"),SUM($C$6:$F$11,$C$15:$F$16,$C$38:$D$38)&lt;&gt;0,SUM(C$38:D$38)&lt;&gt;SUM(H$38:I$38)),SUM(H$38:I$38),0)</f>
        <v>67820.253333333327</v>
      </c>
      <c r="G38" s="448"/>
      <c r="H38" s="404">
        <v>3083</v>
      </c>
      <c r="I38" s="405">
        <v>3109.5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2717.9166666666665</v>
      </c>
      <c r="K38" s="432">
        <f>SUM(H$38:J$38)+IF(AND(OR('Company Information'!$C$12="District of Columbia",'Company Information'!$C$12="Massachusetts",'Company Information'!$C$12="Vermont"),SUM($H$6:$K$11,$H$15:$K$16,$H$38:$I$38)&lt;&gt;0,SUM(H$38:I$38)&lt;&gt;SUM(C$38:D$38)),SUM(C$38:D$38),0)</f>
        <v>8910.4166666666661</v>
      </c>
      <c r="L38" s="448"/>
      <c r="M38" s="404">
        <v>1350</v>
      </c>
      <c r="N38" s="405">
        <v>1537.67</v>
      </c>
      <c r="O38" s="432">
        <f>('Pt 1 Summary of Data'!Q$59+'Pt 1 Summary of Data'!S$59-'Pt 1 Summary of Data'!T$59)/12</f>
        <v>1386.5</v>
      </c>
      <c r="P38" s="432">
        <f>SUM(M$38:O$38)</f>
        <v>4274.17</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2.8397083333333333E-2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4.135498E-2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7794</v>
      </c>
      <c r="G40" s="447"/>
      <c r="H40" s="443"/>
      <c r="I40" s="441"/>
      <c r="J40" s="441"/>
      <c r="K40" s="398">
        <v>2909</v>
      </c>
      <c r="L40" s="447"/>
      <c r="M40" s="443"/>
      <c r="N40" s="441"/>
      <c r="O40" s="441"/>
      <c r="P40" s="398">
        <v>2532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1.5886392</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1.2029368</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1.1670463999999998</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0</v>
      </c>
      <c r="G42" s="447"/>
      <c r="H42" s="443"/>
      <c r="I42" s="441"/>
      <c r="J42" s="441"/>
      <c r="K42" s="436">
        <f ca="1">IF(OR(K$38&lt;1000,K$38&gt;=75000),0,K$39*K$41)</f>
        <v>3.4159896554333331E-2</v>
      </c>
      <c r="L42" s="447"/>
      <c r="M42" s="443"/>
      <c r="N42" s="441"/>
      <c r="O42" s="441"/>
      <c r="P42" s="436">
        <f ca="1">IF(OR(P$38&lt;1000,P$38&gt;=75000),0,P$39*P$41)</f>
        <v>4.8263180531071995E-2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0.64945682694840845</v>
      </c>
      <c r="D45" s="436">
        <f>IF(OR(D$38&lt;1000,D$17&lt;=0),"",D$12/D$17)</f>
        <v>0.77800307820421633</v>
      </c>
      <c r="E45" s="436">
        <f>IF(OR(E$38&lt;1000,E$17&lt;=0),"",E$12/E$17)</f>
        <v>0.77546613290308875</v>
      </c>
      <c r="F45" s="436">
        <f>IF(OR(F$38&lt;1000,F$17&lt;=0),"",F$12/F$17)</f>
        <v>0.76893238899730521</v>
      </c>
      <c r="G45" s="447"/>
      <c r="H45" s="438">
        <f>IF(OR(H$38&lt;1000,H$17&lt;=0),"",H$12/H$17)</f>
        <v>0.78565884331370606</v>
      </c>
      <c r="I45" s="436">
        <f>IF(OR(I$38&lt;1000,I$17&lt;=0),"",I$12/I$17)</f>
        <v>0.794913532685525</v>
      </c>
      <c r="J45" s="436">
        <f>IF(OR(J$38&lt;1000,J$17&lt;=0),"",J$12/J$17)</f>
        <v>0.81971037109434386</v>
      </c>
      <c r="K45" s="436">
        <f>IF(OR(K$38&lt;1000,K$17&lt;=0),"",K$12/K$17)</f>
        <v>0.79961015495288845</v>
      </c>
      <c r="L45" s="447"/>
      <c r="M45" s="438">
        <f>IF(OR(M$38&lt;1000,M$17&lt;=0),"",M$12/M$17)</f>
        <v>0.89164005266078594</v>
      </c>
      <c r="N45" s="436">
        <f>IF(OR(N$38&lt;1000,N$17&lt;=0),"",N$12/N$17)</f>
        <v>0.74889849547418585</v>
      </c>
      <c r="O45" s="436">
        <f>IF(OR(O$38&lt;1000,O$17&lt;=0),"",O$12/O$17)</f>
        <v>0.78804435108280846</v>
      </c>
      <c r="P45" s="436">
        <f>IF(OR(P$38&lt;1000,P$17&lt;=0),"",P$12/P$17)</f>
        <v>0.80713459953274069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0</v>
      </c>
      <c r="G47" s="447"/>
      <c r="H47" s="443"/>
      <c r="I47" s="441"/>
      <c r="J47" s="441"/>
      <c r="K47" s="436">
        <f ca="1">IF(K$45="","",K$42)</f>
        <v>3.4159896554333331E-2</v>
      </c>
      <c r="L47" s="447"/>
      <c r="M47" s="443"/>
      <c r="N47" s="441"/>
      <c r="O47" s="441"/>
      <c r="P47" s="436">
        <f ca="1">IF(P$45="","",P$42)</f>
        <v>4.8263180531071995E-2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0.76900000000000002</v>
      </c>
      <c r="G48" s="447"/>
      <c r="H48" s="443"/>
      <c r="I48" s="441"/>
      <c r="J48" s="441"/>
      <c r="K48" s="436">
        <f ca="1">IF(K$45="","",ROUND(K$45+MAX(0,K$47),3))</f>
        <v>0.83399999999999996</v>
      </c>
      <c r="L48" s="447"/>
      <c r="M48" s="443"/>
      <c r="N48" s="441"/>
      <c r="O48" s="441"/>
      <c r="P48" s="436">
        <f ca="1">IF(P$45="","",ROUND(P$45+MAX(0,P$47),3))</f>
        <v>0.85499999999999998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0.76900000000000002</v>
      </c>
      <c r="G51" s="447"/>
      <c r="H51" s="444"/>
      <c r="I51" s="442"/>
      <c r="J51" s="442"/>
      <c r="K51" s="436">
        <f ca="1">K$48</f>
        <v>0.83399999999999996</v>
      </c>
      <c r="L51" s="447"/>
      <c r="M51" s="444"/>
      <c r="N51" s="442"/>
      <c r="O51" s="442"/>
      <c r="P51" s="436">
        <f ca="1">P$48</f>
        <v>0.85499999999999998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125441166.97119081</v>
      </c>
      <c r="G52" s="447"/>
      <c r="H52" s="443"/>
      <c r="I52" s="441"/>
      <c r="J52" s="441"/>
      <c r="K52" s="400">
        <f>IF(K$38&lt;1000,"",MAX(0,J$15-J$16))</f>
        <v>11645370.406348562</v>
      </c>
      <c r="L52" s="447"/>
      <c r="M52" s="443"/>
      <c r="N52" s="441"/>
      <c r="O52" s="441"/>
      <c r="P52" s="400">
        <f>IF(P$38&lt;1000,"",MAX(0,O$15-O$16))</f>
        <v>7135791.7010081364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3888676.1761069186</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182631.62210000001</v>
      </c>
      <c r="D56" s="441"/>
      <c r="E56" s="441"/>
      <c r="F56" s="441"/>
      <c r="G56" s="447"/>
      <c r="H56" s="397">
        <v>75433.890150000007</v>
      </c>
      <c r="I56" s="441"/>
      <c r="J56" s="441"/>
      <c r="K56" s="441"/>
      <c r="L56" s="447"/>
      <c r="M56" s="397">
        <v>31578.361870000001</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15574.101849999999</v>
      </c>
      <c r="D57" s="441"/>
      <c r="E57" s="441"/>
      <c r="F57" s="441"/>
      <c r="G57" s="447"/>
      <c r="H57" s="397">
        <v>3573.564034</v>
      </c>
      <c r="I57" s="441"/>
      <c r="J57" s="441"/>
      <c r="K57" s="441"/>
      <c r="L57" s="447"/>
      <c r="M57" s="397">
        <v>-315.48216980000001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-1473331</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138392735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136919404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18439</v>
      </c>
      <c r="D4" s="104">
        <f>'Pt 1 Summary of Data'!$K$56+'Pt 1 Summary of Data'!$M$56-'Pt 1 Summary of Data'!$N$56</f>
        <v>1748</v>
      </c>
      <c r="E4" s="104">
        <f>'Pt 1 Summary of Data'!$Q$56+'Pt 1 Summary of Data'!$S$56-'Pt 1 Summary of Data'!$T$56</f>
        <v>1117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31618</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265</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3888676.1761069186</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v>-815.61000000000013</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3888676.18</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7208322.7999999998</v>
      </c>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846562.68</v>
      </c>
      <c r="D22" s="127"/>
      <c r="E22" s="127"/>
      <c r="F22" s="127"/>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839" yWindow="472"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