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P12" i="10" s="1"/>
  <c r="AB16" i="10"/>
  <c r="AA16" i="10"/>
  <c r="X16" i="10"/>
  <c r="W16" i="10"/>
  <c r="T16" i="10"/>
  <c r="S16" i="10"/>
  <c r="P16" i="10"/>
  <c r="O16" i="10"/>
  <c r="L16" i="10"/>
  <c r="K16" i="10"/>
  <c r="J16" i="10"/>
  <c r="G16" i="10"/>
  <c r="F16" i="10"/>
  <c r="E16" i="10"/>
  <c r="AB15" i="10"/>
  <c r="AA15" i="10"/>
  <c r="X15" i="10"/>
  <c r="W15" i="10"/>
  <c r="T15" i="10"/>
  <c r="S15" i="10"/>
  <c r="P15" i="10"/>
  <c r="O15" i="10"/>
  <c r="L15" i="10"/>
  <c r="AB13" i="10"/>
  <c r="AA13" i="10"/>
  <c r="Z13" i="10"/>
  <c r="Y13" i="10"/>
  <c r="W13" i="10"/>
  <c r="V13" i="10"/>
  <c r="U13" i="10"/>
  <c r="Q13"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S55" i="18"/>
  <c r="AC55" i="18"/>
  <c r="AC22" i="4" s="1"/>
  <c r="AB55" i="18"/>
  <c r="AB22" i="4" s="1"/>
  <c r="AA55" i="18"/>
  <c r="AA22" i="4" s="1"/>
  <c r="Z55" i="18"/>
  <c r="Y55" i="18"/>
  <c r="X55" i="18"/>
  <c r="W55" i="18"/>
  <c r="V55" i="18"/>
  <c r="U55" i="18"/>
  <c r="T55" i="18"/>
  <c r="S55" i="18"/>
  <c r="R55" i="18"/>
  <c r="Q55" i="18"/>
  <c r="Q22" i="4" s="1"/>
  <c r="P55" i="18"/>
  <c r="O55" i="18"/>
  <c r="N55" i="18"/>
  <c r="M55" i="18"/>
  <c r="L55" i="18"/>
  <c r="K55" i="18"/>
  <c r="K22" i="4" s="1"/>
  <c r="J55" i="18"/>
  <c r="J22" i="4" s="1"/>
  <c r="I55" i="18"/>
  <c r="H55" i="18"/>
  <c r="H22" i="4" s="1"/>
  <c r="G55" i="18"/>
  <c r="G22" i="4" s="1"/>
  <c r="F55" i="18"/>
  <c r="E55" i="18"/>
  <c r="D55" i="18"/>
  <c r="AU54" i="18"/>
  <c r="AT54" i="18"/>
  <c r="AT12" i="4" s="1"/>
  <c r="AS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S22" i="4"/>
  <c r="Z22" i="4"/>
  <c r="Y22" i="4"/>
  <c r="X22" i="4"/>
  <c r="W22" i="4"/>
  <c r="V22" i="4"/>
  <c r="U22" i="4"/>
  <c r="T22" i="4"/>
  <c r="S22" i="4"/>
  <c r="R22" i="4"/>
  <c r="P22" i="4"/>
  <c r="O22" i="4"/>
  <c r="N22" i="4"/>
  <c r="M22" i="4"/>
  <c r="L22" i="4"/>
  <c r="I22" i="4"/>
  <c r="F22" i="4"/>
  <c r="E22" i="4"/>
  <c r="D22" i="4"/>
  <c r="AU12" i="4"/>
  <c r="AS12" i="4"/>
  <c r="AC12" i="4"/>
  <c r="AB12" i="4"/>
  <c r="AA12" i="4"/>
  <c r="Z12" i="4"/>
  <c r="Y12" i="4"/>
  <c r="X12" i="4"/>
  <c r="W12" i="4"/>
  <c r="V12" i="4"/>
  <c r="U12" i="4"/>
  <c r="T12" i="4"/>
  <c r="S12" i="4"/>
  <c r="R12" i="4"/>
  <c r="Q12" i="4"/>
  <c r="P12" i="4"/>
  <c r="O12" i="4"/>
  <c r="N12" i="4"/>
  <c r="M12" i="4"/>
  <c r="L12" i="4"/>
  <c r="K12" i="4"/>
  <c r="J12" i="4"/>
  <c r="I12" i="4"/>
  <c r="H12" i="4"/>
  <c r="G12" i="4"/>
  <c r="F12" i="4"/>
  <c r="E12" i="4"/>
  <c r="D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E15" i="10" s="1"/>
  <c r="D5" i="4"/>
  <c r="J15" i="10" l="1"/>
  <c r="J7" i="10"/>
  <c r="H17" i="10" s="1"/>
  <c r="H45" i="10" s="1"/>
  <c r="F15" i="10"/>
  <c r="K7" i="10"/>
  <c r="J17" i="10" s="1"/>
  <c r="K15" i="10"/>
  <c r="G15" i="10"/>
  <c r="G27" i="10" s="1"/>
  <c r="E7" i="10"/>
  <c r="L30" i="10"/>
  <c r="L31" i="10" s="1"/>
  <c r="L29" i="10" s="1"/>
  <c r="L33" i="10" s="1"/>
  <c r="L34" i="10" s="1"/>
  <c r="P47" i="10"/>
  <c r="G24" i="10"/>
  <c r="AB39" i="10"/>
  <c r="X39" i="10"/>
  <c r="T39" i="10"/>
  <c r="L21" i="10"/>
  <c r="L26" i="10" s="1"/>
  <c r="L25" i="10" s="1"/>
  <c r="L28" i="10" s="1"/>
  <c r="X13" i="10"/>
  <c r="T13" i="10"/>
  <c r="R13" i="10"/>
  <c r="S13" i="10"/>
  <c r="H12" i="10" l="1"/>
  <c r="I12" i="10"/>
  <c r="K17" i="10"/>
  <c r="G19" i="10"/>
  <c r="G32" i="10"/>
  <c r="F7" i="10"/>
  <c r="E12" i="10" s="1"/>
  <c r="D17" i="10"/>
  <c r="D45" i="10" s="1"/>
  <c r="C17" i="10"/>
  <c r="C45" i="10" s="1"/>
  <c r="E38" i="10"/>
  <c r="C12" i="10"/>
  <c r="G23" i="10"/>
  <c r="D12" i="10"/>
  <c r="J12" i="10"/>
  <c r="G20" i="10"/>
  <c r="J38" i="10"/>
  <c r="E17" i="10"/>
  <c r="I17" i="10"/>
  <c r="I45" i="10" s="1"/>
  <c r="F17" i="10"/>
  <c r="G22" i="10" l="1"/>
  <c r="K38" i="10"/>
  <c r="J45" i="10"/>
  <c r="K12" i="10"/>
  <c r="F12" i="10"/>
  <c r="F38" i="10"/>
  <c r="E45" i="10"/>
  <c r="G21" i="10"/>
  <c r="G26" i="10" s="1"/>
  <c r="G25" i="10" s="1"/>
  <c r="G28" i="10" s="1"/>
  <c r="G30" i="10"/>
  <c r="G31" i="10" s="1"/>
  <c r="G29" i="10" s="1"/>
  <c r="G33" i="10" s="1"/>
  <c r="G34" i="10" s="1"/>
  <c r="F52" i="10" l="1"/>
  <c r="F53" i="10"/>
  <c r="C11" i="16" s="1"/>
  <c r="F42" i="10"/>
  <c r="F39" i="10"/>
  <c r="F45" i="10"/>
  <c r="K42" i="10"/>
  <c r="K53" i="10"/>
  <c r="D11" i="16" s="1"/>
  <c r="K45" i="10"/>
  <c r="K52" i="10"/>
  <c r="K39" i="10"/>
  <c r="K48" i="10" l="1"/>
  <c r="K51" i="10" s="1"/>
  <c r="K47" i="10"/>
  <c r="F47" i="10"/>
  <c r="F48" i="10"/>
  <c r="F51"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<sst xmlns="http://schemas.openxmlformats.org/spreadsheetml/2006/main" count="568" uniqueCount="507">
  <si>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</si>
  <si>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</si>
  <si>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</si>
  <si>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</si>
  <si>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</si>
  <si>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</si>
  <si>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</si>
  <si>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</si>
  <si>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</si>
  <si>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</si>
  <si>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</si>
  <si>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</si>
  <si>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</si>
  <si>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</si>
  <si>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</si>
  <si>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</si>
  <si>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</si>
  <si>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</si>
  <si>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</si>
  <si>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</si>
  <si>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</si>
  <si>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</si>
  <si>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</si>
  <si>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</si>
  <si>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</si>
  <si>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</si>
  <si>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</si>
  <si>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</si>
  <si>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</si>
  <si>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</si>
  <si>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</si>
  <si>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</si>
  <si>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</si>
  <si>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</si>
  <si>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</si>
  <si>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</si>
  <si>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</si>
  <si>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</si>
  <si>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</si>
  <si>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</si>
  <si>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</si>
  <si>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</si>
  <si>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</si>
  <si>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</si>
  <si>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</si>
  <si>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</si>
  <si>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</si>
  <si>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</si>
  <si>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</si>
  <si>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</si>
  <si>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</si>
  <si>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</si>
  <si>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</si>
  <si>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</si>
  <si>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</si>
  <si>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</si>
  <si>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</si>
  <si>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</si>
  <si>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</si>
  <si>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</si>
  <si>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</si>
  <si>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</si>
  <si>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</si>
  <si>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</si>
  <si>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</si>
  <si>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</si>
  <si>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</si>
  <si>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</si>
  <si>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</si>
  <si>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</si>
  <si>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</si>
  <si>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</si>
  <si>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</si>
  <si>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</si>
  <si>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</si>
  <si>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</si>
  <si>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</si>
  <si>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</si>
  <si>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</si>
  <si>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</si>
  <si>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</si>
  <si>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</si>
  <si>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</si>
  <si>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</si>
  <si>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</si>
  <si>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</si>
  <si>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</si>
  <si>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</si>
  <si>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</si>
  <si>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</si>
  <si>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</si>
  <si>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</si>
  <si>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</si>
  <si>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</si>
  <si>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</si>
  <si>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</si>
  <si>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</si>
  <si>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</si>
  <si>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</si>
  <si>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</si>
  <si>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</si>
  <si>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</si>
  <si>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</si>
  <si>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</si>
  <si>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</si>
  <si>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</si>
  <si>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</si>
  <si>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</si>
  <si>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</si>
  <si>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</si>
  <si>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</si>
  <si>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</si>
  <si>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</si>
  <si>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</si>
  <si>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</si>
  <si>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</si>
  <si>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</si>
  <si>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</si>
  <si>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</si>
  <si>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</si>
  <si>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</si>
  <si>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</si>
  <si>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</si>
  <si>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</si>
  <si>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</si>
  <si>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</si>
  <si>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</si>
  <si>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</si>
  <si>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</si>
  <si>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</si>
  <si>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</si>
  <si>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</si>
  <si>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</si>
  <si>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</si>
  <si>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</si>
  <si>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</si>
  <si>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</si>
  <si>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</si>
  <si>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</si>
  <si>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</si>
  <si>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</si>
  <si>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</si>
  <si>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</si>
  <si>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</si>
  <si>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</si>
  <si>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</si>
  <si>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</si>
  <si>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</si>
  <si>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</si>
  <si>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</si>
  <si>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</si>
  <si>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</si>
  <si>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</si>
  <si>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</si>
  <si>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</si>
  <si>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</si>
  <si>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</si>
  <si>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</si>
  <si>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</si>
  <si>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</si>
  <si>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</si>
  <si>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</si>
  <si>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</si>
  <si>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</si>
  <si>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</si>
  <si>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</si>
  <si>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</si>
  <si>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</si>
  <si>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</si>
  <si>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</si>
  <si>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</si>
  <si>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</si>
  <si>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</si>
  <si>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</si>
  <si>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</si>
  <si>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</si>
  <si>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</si>
  <si>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</si>
  <si>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</si>
  <si>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</si>
  <si>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</si>
  <si>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</si>
  <si>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</si>
  <si>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</si>
  <si>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</si>
  <si>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</si>
  <si>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</si>
  <si>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</si>
  <si>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</si>
  <si>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</si>
  <si>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</si>
  <si>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</si>
  <si>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</si>
  <si>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</si>
  <si>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</si>
  <si>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</si>
  <si>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</si>
  <si>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</si>
  <si>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</si>
  <si>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</si>
  <si>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</si>
  <si>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</si>
  <si>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</si>
  <si>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</si>
  <si>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</si>
  <si>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</si>
  <si>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</si>
  <si>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</si>
  <si>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</si>
  <si>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</si>
  <si>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</si>
  <si>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</si>
  <si>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</si>
  <si>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</si>
  <si>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</si>
  <si>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</si>
  <si>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</si>
  <si>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</si>
  <si>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</si>
  <si>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</si>
  <si>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</si>
  <si>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</si>
  <si>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</si>
  <si>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</si>
  <si>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</si>
  <si>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</si>
  <si>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</si>
  <si>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</si>
  <si>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</si>
  <si>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</si>
  <si>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</si>
  <si>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</si>
  <si>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</si>
  <si>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</si>
  <si>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</si>
  <si>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</si>
  <si>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</si>
  <si>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</si>
  <si>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</si>
  <si>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</si>
  <si>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</si>
  <si>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</si>
  <si>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</si>
  <si>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</si>
  <si>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</si>
  <si>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</si>
  <si>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</si>
  <si>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</si>
  <si>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</si>
  <si>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</si>
  <si>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</si>
  <si>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</si>
  <si>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</si>
  <si>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</si>
  <si>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</si>
  <si>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</si>
  <si>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</si>
  <si>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</si>
  <si>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</si>
  <si>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</si>
  <si>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</si>
  <si>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</si>
  <si>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</si>
  <si>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</si>
  <si>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</si>
  <si>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</si>
  <si>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</si>
  <si>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</si>
  <si>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</si>
  <si>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</si>
  <si>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</si>
  <si>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</si>
  <si>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</si>
  <si>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</si>
  <si>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</si>
  <si>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</si>
  <si>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</si>
  <si>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</si>
  <si>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</si>
  <si>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</si>
  <si>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</si>
  <si>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</si>
  <si>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</si>
  <si>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</si>
  <si>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</si>
  <si>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</si>
  <si>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</si>
  <si>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</si>
  <si>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</si>
  <si>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</si>
  <si>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</si>
  <si>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</si>
  <si>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</si>
  <si>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</si>
  <si>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</si>
  <si>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</si>
  <si>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</si>
  <si>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</si>
  <si>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</si>
  <si>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</si>
  <si>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</si>
  <si>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</si>
  <si>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</si>
  <si>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</si>
  <si>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</si>
  <si>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</si>
  <si>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</si>
  <si>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</si>
  <si>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</si>
  <si>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</si>
  <si>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</si>
  <si>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</si>
  <si>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</si>
  <si>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</si>
  <si>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</si>
  <si>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</si>
  <si>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</si>
  <si>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</si>
  <si>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</si>
  <si>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</si>
  <si>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</si>
  <si>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</si>
  <si>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</si>
  <si>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</si>
  <si>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</si>
  <si>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</si>
  <si>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</si>
  <si>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</si>
  <si>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</si>
  <si>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</si>
  <si>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</si>
  <si>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</si>
  <si>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</si>
  <si>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</si>
  <si>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</si>
  <si>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</si>
  <si>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</si>
  <si>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</si>
  <si>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</si>
  <si>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</si>
  <si>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</si>
  <si>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</si>
  <si>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</si>
  <si>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</si>
  <si>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</si>
  <si>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</si>
  <si>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</si>
  <si>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</si>
  <si>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</si>
  <si>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</si>
  <si>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</si>
  <si>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</si>
  <si>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</si>
  <si>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</si>
  <si>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</si>
  <si>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</si>
  <si>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</si>
  <si>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</si>
  <si>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</si>
  <si>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</si>
  <si>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</si>
  <si>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</si>
  <si>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</si>
  <si>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</si>
  <si>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</si>
  <si>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</si>
  <si>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</si>
  <si>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</si>
  <si>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</si>
  <si>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</si>
  <si>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</si>
  <si>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</si>
  <si>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</si>
  <si>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</si>
  <si>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</si>
  <si>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</si>
  <si>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</si>
  <si>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</si>
  <si>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</si>
  <si>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</si>
  <si>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</si>
  <si>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</si>
  <si>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</si>
  <si>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</si>
  <si>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</si>
  <si>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</si>
  <si>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</si>
  <si>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</si>
  <si>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</si>
  <si>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</si>
  <si>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</si>
  <si>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</si>
  <si>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</si>
  <si>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</si>
  <si>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</si>
  <si>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</si>
  <si>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</si>
  <si>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</si>
  <si>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</si>
  <si>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</si>
  <si>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</si>
  <si>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</si>
  <si>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</si>
  <si>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</si>
  <si>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</si>
  <si>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</si>
  <si>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</si>
  <si>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</si>
  <si>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</si>
  <si>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</si>
  <si>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</si>
  <si>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</si>
  <si>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</si>
  <si>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</si>
  <si>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</si>
  <si>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</si>
  <si>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</si>
  <si>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</si>
  <si>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</si>
  <si>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</si>
  <si>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</si>
  <si>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</si>
  <si>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</si>
  <si>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</si>
  <si>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</si>
  <si>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</si>
  <si>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</si>
  <si>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</si>
  <si>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</si>
  <si>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</si>
  <si>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</si>
  <si>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</si>
  <si>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</si>
  <si>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</si>
  <si>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</si>
  <si>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</si>
  <si>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</si>
  <si>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</si>
  <si>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</si>
  <si>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</si>
  <si>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</si>
  <si>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</si>
  <si>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</si>
  <si>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</si>
  <si>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</si>
  <si>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</si>
  <si>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</si>
  <si>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</si>
  <si>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</si>
  <si>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</si>
  <si>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</si>
  <si>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</si>
  <si>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</si>
  <si>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</si>
  <si>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</si>
  <si>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</si>
  <si>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</si>
  <si>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</si>
  <si>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</si>
  <si>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</si>
  <si>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</si>
  <si>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</si>
  <si>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</si>
  <si>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</si>
  <si>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</si>
  <si>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</si>
  <si>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</si>
  <si>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</si>
  <si>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</si>
  <si>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</si>
  <si>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</si>
  <si>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</si>
  <si>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</si>
  <si>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</si>
  <si>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</si>
  <si>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</si>
  <si>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</si>
  <si>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</si>
  <si>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</si>
  <si>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</si>
  <si>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</si>
  <si>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</si>
  <si>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</si>
  <si>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</si>
  <si>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</si>
  <si>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</si>
  <si>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</si>
  <si>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</si>
  <si>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</si>
  <si>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</si>
  <si>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</si>
  <si>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</si>
  <si>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</si>
  <si>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</si>
  <si>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</si>
  <si>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</si>
  <si>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</si>
  <si>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</si>
  <si>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</si>
  <si>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</si>
  <si>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</si>
  <si>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</si>
  <si>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</si>
  <si>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</si>
  <si>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</si>
  <si>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81966</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</si>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</sst>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170</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3264221</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c r="J7" s="216">
        <v>0</v>
      </c>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-4</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-47819</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2275260</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69693</v>
      </c>
      <c r="AU13" s="220">
        <v>0</v>
      </c>
      <c r="AV13" s="290"/>
      <c r="AW13" s="297"/>
    </row>
    <row r="14" spans="1:49" ht="25.5" x14ac:dyDescent="0.2">
      <c r="B14" s="239" t="s">
        <v>231</v>
      </c>
      <c r="C14" s="203" t="s">
        <v>6</v>
      </c>
      <c r="D14" s="216">
        <v>0</v>
      </c>
      <c r="E14" s="217">
        <v>0</v>
      </c>
      <c r="F14" s="217"/>
      <c r="G14" s="267"/>
      <c r="H14" s="270"/>
      <c r="I14" s="216"/>
      <c r="J14" s="216">
        <v>0</v>
      </c>
      <c r="K14" s="217">
        <v>0</v>
      </c>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23</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19617</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28868</v>
      </c>
      <c r="AU37" s="226">
        <v>0</v>
      </c>
      <c r="AV37" s="226">
        <v>26790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35450</v>
      </c>
      <c r="AU38" s="220">
        <v>0</v>
      </c>
      <c r="AV38" s="220">
        <v>29957</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6379</v>
      </c>
      <c r="AU39" s="220">
        <v>0</v>
      </c>
      <c r="AV39" s="220">
        <v>5382</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27414</v>
      </c>
      <c r="AU40" s="220">
        <v>0</v>
      </c>
      <c r="AV40" s="220">
        <v>20662</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5511</v>
      </c>
      <c r="AU41" s="220">
        <v>0</v>
      </c>
      <c r="AV41" s="220">
        <v>3429</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13592</v>
      </c>
      <c r="AU44" s="226">
        <v>0</v>
      </c>
      <c r="AV44" s="226">
        <v>17973</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34521</v>
      </c>
      <c r="AU45" s="220">
        <v>0</v>
      </c>
      <c r="AV45" s="220">
        <v>14425</v>
      </c>
      <c r="AW45" s="297"/>
    </row>
    <row r="46" spans="1:49" x14ac:dyDescent="0.2">
      <c r="B46" s="245" t="s">
        <v>262</v>
      </c>
      <c r="C46" s="203" t="s">
        <v>20</v>
      </c>
      <c r="D46" s="216">
        <v>0</v>
      </c>
      <c r="E46" s="217">
        <v>0</v>
      </c>
      <c r="F46" s="217"/>
      <c r="G46" s="217"/>
      <c r="H46" s="217"/>
      <c r="I46" s="216"/>
      <c r="J46" s="216">
        <v>0</v>
      </c>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10271</v>
      </c>
      <c r="AU46" s="220">
        <v>0</v>
      </c>
      <c r="AV46" s="220">
        <v>12989</v>
      </c>
      <c r="AW46" s="297"/>
    </row>
    <row r="47" spans="1:49" x14ac:dyDescent="0.2">
      <c r="B47" s="245" t="s">
        <v>263</v>
      </c>
      <c r="C47" s="203" t="s">
        <v>21</v>
      </c>
      <c r="D47" s="216">
        <v>0</v>
      </c>
      <c r="E47" s="217">
        <v>0</v>
      </c>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569897</v>
      </c>
      <c r="AU47" s="220">
        <v>0</v>
      </c>
      <c r="AV47" s="220">
        <v>1632</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97155</v>
      </c>
      <c r="AU51" s="220">
        <v>0</v>
      </c>
      <c r="AV51" s="220">
        <v>133032</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2693</v>
      </c>
      <c r="AU56" s="230">
        <v>0</v>
      </c>
      <c r="AV56" s="230">
        <v>531</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3135</v>
      </c>
      <c r="AU57" s="233">
        <v>0</v>
      </c>
      <c r="AV57" s="233">
        <v>531</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11</v>
      </c>
      <c r="AU58" s="233">
        <v>0</v>
      </c>
      <c r="AV58" s="233">
        <v>1</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31408</v>
      </c>
      <c r="AU59" s="233">
        <v>0</v>
      </c>
      <c r="AV59" s="233">
        <v>6500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2617.3333333333335</v>
      </c>
      <c r="AU60" s="236">
        <f>AU$59/12</f>
        <v>0</v>
      </c>
      <c r="AV60" s="236">
        <f>AV$59/12</f>
        <v>541.66666666666663</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3267235</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4193</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7207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-10430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6829</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2188742</v>
      </c>
      <c r="AU23" s="321">
        <v>0</v>
      </c>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348691</v>
      </c>
      <c r="AU26" s="321">
        <v>0</v>
      </c>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6841</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233554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51601</v>
      </c>
      <c r="AU30" s="321">
        <v>0</v>
      </c>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35</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80244</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v>
      </c>
      <c r="E36" s="319">
        <v>0</v>
      </c>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v>0</v>
      </c>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-48</v>
      </c>
      <c r="AU49" s="321">
        <v>0</v>
      </c>
      <c r="AV49" s="368"/>
      <c r="AW49" s="374"/>
    </row>
    <row r="50" spans="2:49" x14ac:dyDescent="0.2">
      <c r="B50" s="343" t="s">
        <v>119</v>
      </c>
      <c r="C50" s="331" t="s">
        <v>34</v>
      </c>
      <c r="D50" s="318">
        <v>46</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-24</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v>0</v>
      </c>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2275260</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988</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-3414.3889999999988</v>
      </c>
      <c r="D6" s="398">
        <v>589.99649999999997</v>
      </c>
      <c r="E6" s="400">
        <f>SUM('Pt 1 Summary of Data'!E$12,'Pt 1 Summary of Data'!E$22)+SUM('Pt 1 Summary of Data'!G$12,'Pt 1 Summary of Data'!G$22)-SUM('Pt 1 Summary of Data'!H$12,'Pt 1 Summary of Data'!H$22)</f>
        <v>0</v>
      </c>
      <c r="F6" s="400">
        <f t="shared" ref="F6:F11" si="0">SUM(C6:E6)</f>
        <v>-2824.392499999999</v>
      </c>
      <c r="G6" s="401">
        <f>SUM('Pt 1 Summary of Data'!I$12,'Pt 1 Summary of Data'!I$22)</f>
        <v>0</v>
      </c>
      <c r="H6" s="397">
        <v>-103.06599999999901</v>
      </c>
      <c r="I6" s="398">
        <v>-2174.9535000000001</v>
      </c>
      <c r="J6" s="400">
        <f>SUM('Pt 1 Summary of Data'!K$12,'Pt 1 Summary of Data'!K$22)+SUM('Pt 1 Summary of Data'!M$12,'Pt 1 Summary of Data'!M$22)-SUM('Pt 1 Summary of Data'!N$12,'Pt 1 Summary of Data'!N$22)</f>
        <v>0</v>
      </c>
      <c r="K6" s="400">
        <f>SUM(H6:J6)</f>
        <v>-2278.019499999999</v>
      </c>
      <c r="L6" s="401">
        <f>SUM('Pt 1 Summary of Data'!O$12,'Pt 1 Summary of Data'!O$22)</f>
        <v>0</v>
      </c>
      <c r="M6" s="397">
        <v>0</v>
      </c>
      <c r="N6" s="398">
        <v>-0.06</v>
      </c>
      <c r="O6" s="400">
        <f>SUM('Pt 1 Summary of Data'!Q$12,'Pt 1 Summary of Data'!Q$22)+SUM('Pt 1 Summary of Data'!S$12,'Pt 1 Summary of Data'!S$22)-SUM('Pt 1 Summary of Data'!T$12,'Pt 1 Summary of Data'!T$22)</f>
        <v>0</v>
      </c>
      <c r="P6" s="400">
        <f>SUM(M6:O6)</f>
        <v>-0.06</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v>0</v>
      </c>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v>0</v>
      </c>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-3414.3889999999988</v>
      </c>
      <c r="D12" s="400">
        <f>SUM(D$6:D$7) - SUM(D$8:D$11)+IF(AND(OR('Company Information'!$C$12="District of Columbia",'Company Information'!$C$12="Massachusetts",'Company Information'!$C$12="Vermont"),SUM($C$6:$F$11,$C$15:$F$16,$C$38:$D$38)&lt;&gt;0),SUM(I$6:I$7) - SUM(I$10:I$11),0)</f>
        <v>589.99649999999997</v>
      </c>
      <c r="E12" s="400">
        <f>SUM(E$6:E$7)-SUM(E$8:E$11)+IF(AND(OR('Company Information'!$C$12="District of Columbia",'Company Information'!$C$12="Massachusetts",'Company Information'!$C$12="Vermont"),SUM($C$6:$F$11,$C$15:$F$16,$C$38:$D$38)&lt;&gt;0),SUM(J$6:J$7)-SUM(J$10:J$11),0)</f>
        <v>0</v>
      </c>
      <c r="F12" s="400">
        <f>IFERROR(SUM(C$12:E$12)+C$17*MAX(0,E$50-C$50)+D$17*MAX(0,E$50-D$50),0)</f>
        <v>-2824.392499999999</v>
      </c>
      <c r="G12" s="447"/>
      <c r="H12" s="399">
        <f>SUM(H$6:H$7)+IF(AND(OR('Company Information'!$C$12="District of Columbia",'Company Information'!$C$12="Massachusetts",'Company Information'!$C$12="Vermont"),SUM($H$6:$K$11,$H$15:$K$16,$H$38:$I$38)&lt;&gt;0),SUM(C$6:C$7),0)</f>
        <v>-103.06599999999901</v>
      </c>
      <c r="I12" s="400">
        <f>SUM(I$6:I$7) - SUM(I$10:I$11)+IF(AND(OR('Company Information'!$C$12="District of Columbia",'Company Information'!$C$12="Massachusetts",'Company Information'!$C$12="Vermont"),SUM($H$6:$K$11,$H$15:$K$16,$H$38:$I$38)&lt;&gt;0),SUM(D$6:D$7) - SUM(D$8:D$11),0)</f>
        <v>-2174.9535000000001</v>
      </c>
      <c r="J12" s="400">
        <f>SUM(J$6:J$7)-SUM(J$10:J$11)+IF(AND(OR('Company Information'!$C$12="District of Columbia",'Company Information'!$C$12="Massachusetts",'Company Information'!$C$12="Vermont"),SUM($H$6:$K$11,$H$15:$K$16,$H$38:$I$38)&lt;&gt;0),SUM(E$6:E$7)-SUM(E$8:E$11),0)</f>
        <v>0</v>
      </c>
      <c r="K12" s="400">
        <f>IFERROR(SUM(H$12:J$12)+H$17*MAX(0,J$50-H$50)+I$17*MAX(0,J$50-I$50),0)</f>
        <v>-2278.019499999999</v>
      </c>
      <c r="L12" s="447"/>
      <c r="M12" s="399">
        <f>SUM(M$6:M$7)</f>
        <v>0</v>
      </c>
      <c r="N12" s="400">
        <f>SUM(N$6:N$7)</f>
        <v>-0.06</v>
      </c>
      <c r="O12" s="400">
        <f>SUM(O$6:O$7)</f>
        <v>0</v>
      </c>
      <c r="P12" s="400">
        <f>SUM(M$12:O$12)+M$17*MAX(0,O$50-M$50)+N$17*MAX(0,O$50-N$50)</f>
        <v>-0.06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f>
        <v>0</v>
      </c>
      <c r="F15" s="395">
        <f>SUM(C15:E15)</f>
        <v>0</v>
      </c>
      <c r="G15" s="396">
        <f>SUM('Pt 1 Summary of Data'!I$5:I$7)-SUM(G$9:G$10)</f>
        <v>0</v>
      </c>
      <c r="H15" s="402">
        <v>0</v>
      </c>
      <c r="I15" s="403">
        <v>0</v>
      </c>
      <c r="J15" s="395">
        <f>SUM('Pt 1 Summary of Data'!K$5:K$7)+SUM('Pt 1 Summary of Data'!M$5:M$7)-SUM('Pt 1 Summary of Data'!N$5:N$7)-SUM(J$10:J$11)</f>
        <v>0</v>
      </c>
      <c r="K15" s="395">
        <f>SUM(H15:J15)</f>
        <v>0</v>
      </c>
      <c r="L15" s="396">
        <f>SUM('Pt 1 Summary of Data'!O$5:O$7)-L$10</f>
        <v>0</v>
      </c>
      <c r="M15" s="402">
        <v>0</v>
      </c>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v>0</v>
      </c>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v>0</v>
      </c>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v>0</v>
      </c>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v>0</v>
      </c>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152.7953158</v>
      </c>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7.6461495189999997</v>
      </c>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