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C22" i="4" s="1"/>
  <c r="AB55" i="18"/>
  <c r="AA55" i="18"/>
  <c r="Z55" i="18"/>
  <c r="Z22" i="4" s="1"/>
  <c r="Y55" i="18"/>
  <c r="Y22" i="4" s="1"/>
  <c r="X55" i="18"/>
  <c r="X22" i="4" s="1"/>
  <c r="W55" i="18"/>
  <c r="W22" i="4" s="1"/>
  <c r="V55" i="18"/>
  <c r="U55" i="18"/>
  <c r="T55" i="18"/>
  <c r="T22" i="4" s="1"/>
  <c r="S55" i="18"/>
  <c r="R55" i="18"/>
  <c r="R22" i="4" s="1"/>
  <c r="Q55" i="18"/>
  <c r="Q22" i="4" s="1"/>
  <c r="P55" i="18"/>
  <c r="P22" i="4" s="1"/>
  <c r="O55" i="18"/>
  <c r="N55" i="18"/>
  <c r="N22" i="4" s="1"/>
  <c r="M55" i="18"/>
  <c r="M22" i="4" s="1"/>
  <c r="L55" i="18"/>
  <c r="L22" i="4" s="1"/>
  <c r="K55" i="18"/>
  <c r="K22" i="4" s="1"/>
  <c r="J55" i="18"/>
  <c r="J22" i="4" s="1"/>
  <c r="I55" i="18"/>
  <c r="I22" i="4" s="1"/>
  <c r="H55" i="18"/>
  <c r="H22" i="4" s="1"/>
  <c r="G55" i="18"/>
  <c r="F55" i="18"/>
  <c r="E55" i="18"/>
  <c r="E22" i="4" s="1"/>
  <c r="D55" i="18"/>
  <c r="AU54" i="18"/>
  <c r="AT54" i="18"/>
  <c r="AS54" i="18"/>
  <c r="AC54" i="18"/>
  <c r="AB54" i="18"/>
  <c r="AA54" i="18"/>
  <c r="AA12" i="4" s="1"/>
  <c r="Z54" i="18"/>
  <c r="Y54" i="18"/>
  <c r="X54" i="18"/>
  <c r="W54" i="18"/>
  <c r="V54" i="18"/>
  <c r="U54" i="18"/>
  <c r="T54" i="18"/>
  <c r="S54" i="18"/>
  <c r="R54" i="18"/>
  <c r="Q54" i="18"/>
  <c r="P54" i="18"/>
  <c r="O54" i="18"/>
  <c r="O12" i="4" s="1"/>
  <c r="N54" i="18"/>
  <c r="M54" i="18"/>
  <c r="L54" i="18"/>
  <c r="K54" i="18"/>
  <c r="K12" i="4" s="1"/>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B22" i="4"/>
  <c r="AA22" i="4"/>
  <c r="V22" i="4"/>
  <c r="U22" i="4"/>
  <c r="S22" i="4"/>
  <c r="O22" i="4"/>
  <c r="G22" i="4"/>
  <c r="F22" i="4"/>
  <c r="D22" i="4"/>
  <c r="AU12" i="4"/>
  <c r="AT12" i="4"/>
  <c r="AS12" i="4"/>
  <c r="AC12" i="4"/>
  <c r="AB12" i="4"/>
  <c r="Z12" i="4"/>
  <c r="Y12" i="4"/>
  <c r="X12" i="4"/>
  <c r="W12" i="4"/>
  <c r="V12" i="4"/>
  <c r="U12" i="4"/>
  <c r="T12" i="4"/>
  <c r="S12" i="4"/>
  <c r="R12" i="4"/>
  <c r="Q12" i="4"/>
  <c r="P12" i="4"/>
  <c r="N12" i="4"/>
  <c r="M12" i="4"/>
  <c r="L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7" i="10" l="1"/>
  <c r="J15" i="10"/>
  <c r="K15" i="10" s="1"/>
  <c r="L30" i="10"/>
  <c r="L31" i="10" s="1"/>
  <c r="L29" i="10" s="1"/>
  <c r="L33" i="10" s="1"/>
  <c r="L34" i="10" s="1"/>
  <c r="F7" i="10"/>
  <c r="G7" i="10"/>
  <c r="G23" i="10" s="1"/>
  <c r="E15" i="10"/>
  <c r="J7" i="10"/>
  <c r="X39" i="10"/>
  <c r="P39" i="10"/>
  <c r="P42" i="10" s="1"/>
  <c r="P47" i="10" s="1"/>
  <c r="P48" i="10" s="1"/>
  <c r="P51" i="10" s="1"/>
  <c r="P53" i="10" s="1"/>
  <c r="E11" i="16" s="1"/>
  <c r="L21" i="10"/>
  <c r="L26" i="10" s="1"/>
  <c r="L25" i="10" s="1"/>
  <c r="L28" i="10" s="1"/>
  <c r="X13" i="10"/>
  <c r="T13" i="10"/>
  <c r="U13" i="10"/>
  <c r="S13" i="10"/>
  <c r="G24" i="10" l="1"/>
  <c r="F15" i="10"/>
  <c r="D17" i="10" s="1"/>
  <c r="D12" i="10"/>
  <c r="G19" i="10"/>
  <c r="G20" i="10"/>
  <c r="G27" i="10"/>
  <c r="E38" i="10"/>
  <c r="K7" i="10"/>
  <c r="J38" i="10" s="1"/>
  <c r="J12" i="10"/>
  <c r="G32" i="10"/>
  <c r="E12" i="10"/>
  <c r="K17" i="10" l="1"/>
  <c r="D45" i="10"/>
  <c r="H17" i="10"/>
  <c r="I17" i="10"/>
  <c r="C17" i="10"/>
  <c r="G22" i="10"/>
  <c r="G30" i="10" s="1"/>
  <c r="G31" i="10" s="1"/>
  <c r="G29" i="10" s="1"/>
  <c r="G33" i="10" s="1"/>
  <c r="G34" i="10" s="1"/>
  <c r="F38" i="10"/>
  <c r="K38" i="10"/>
  <c r="F17" i="10"/>
  <c r="C12" i="10"/>
  <c r="F12" i="10" s="1"/>
  <c r="J17" i="10"/>
  <c r="J45" i="10" s="1"/>
  <c r="H12" i="10"/>
  <c r="H45" i="10" s="1"/>
  <c r="I12" i="10"/>
  <c r="E17" i="10"/>
  <c r="E45" i="10" s="1"/>
  <c r="I45" i="10" l="1"/>
  <c r="G21" i="10"/>
  <c r="G26" i="10" s="1"/>
  <c r="G25" i="10" s="1"/>
  <c r="G28" i="10" s="1"/>
  <c r="F45" i="10"/>
  <c r="C45" i="10"/>
  <c r="F39" i="10" s="1"/>
  <c r="F42" i="10" s="1"/>
  <c r="F52" i="10"/>
  <c r="K12" i="10"/>
  <c r="K45" i="10" s="1"/>
  <c r="K52" i="10"/>
  <c r="K39" i="10"/>
  <c r="K42" i="10" s="1"/>
  <c r="K47" i="10" l="1"/>
  <c r="K48" i="10" s="1"/>
  <c r="K51" i="10" s="1"/>
  <c r="K53" i="10" s="1"/>
  <c r="D11" i="16" s="1"/>
  <c r="F47" i="10"/>
  <c r="F48" i="10" s="1"/>
  <c r="F51" i="10" s="1"/>
  <c r="F53" i="10" s="1"/>
  <c r="C11" i="16"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<sst xmlns="http://schemas.openxmlformats.org/spreadsheetml/2006/main" count="572" uniqueCount="511">
  <si>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</si>
  <si>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</si>
  <si>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</si>
  <si>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</si>
  <si>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</si>
  <si>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</si>
  <si>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</si>
  <si>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</si>
  <si>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</si>
  <si>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</si>
  <si>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</si>
  <si>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</si>
  <si>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</si>
  <si>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</si>
  <si>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</si>
  <si>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</si>
  <si>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</si>
  <si>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</si>
  <si>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</si>
  <si>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</si>
  <si>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</si>
  <si>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</si>
  <si>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</si>
  <si>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</si>
  <si>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</si>
  <si>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</si>
  <si>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</si>
  <si>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</si>
  <si>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</si>
  <si>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</si>
  <si>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</si>
  <si>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</si>
  <si>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</si>
  <si>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</si>
  <si>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</si>
  <si>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</si>
  <si>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</si>
  <si>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</si>
  <si>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</si>
  <si>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</si>
  <si>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</si>
  <si>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</si>
  <si>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</si>
  <si>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</si>
  <si>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</si>
  <si>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</si>
  <si>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</si>
  <si>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</si>
  <si>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</si>
  <si>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</si>
  <si>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</si>
  <si>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</si>
  <si>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</si>
  <si>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</si>
  <si>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</si>
  <si>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</si>
  <si>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</si>
  <si>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</si>
  <si>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</si>
  <si>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</si>
  <si>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</si>
  <si>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</si>
  <si>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</si>
  <si>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</si>
  <si>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</si>
  <si>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</si>
  <si>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</si>
  <si>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</si>
  <si>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</si>
  <si>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</si>
  <si>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</si>
  <si>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</si>
  <si>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</si>
  <si>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</si>
  <si>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</si>
  <si>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</si>
  <si>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</si>
  <si>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</si>
  <si>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</si>
  <si>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</si>
  <si>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</si>
  <si>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</si>
  <si>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</si>
  <si>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</si>
  <si>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</si>
  <si>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</si>
  <si>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</si>
  <si>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</si>
  <si>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</si>
  <si>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</si>
  <si>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</si>
  <si>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</si>
  <si>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</si>
  <si>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</si>
  <si>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</si>
  <si>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</si>
  <si>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</si>
  <si>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</si>
  <si>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</si>
  <si>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</si>
  <si>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</si>
  <si>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</si>
  <si>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</si>
  <si>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</si>
  <si>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</si>
  <si>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</si>
  <si>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</si>
  <si>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</si>
  <si>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</si>
  <si>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</si>
  <si>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</si>
  <si>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</si>
  <si>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</si>
  <si>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</si>
  <si>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</si>
  <si>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</si>
  <si>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</si>
  <si>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</si>
  <si>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</si>
  <si>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</si>
  <si>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</si>
  <si>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</si>
  <si>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</si>
  <si>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</si>
  <si>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</si>
  <si>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</si>
  <si>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</si>
  <si>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</si>
  <si>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</si>
  <si>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</si>
  <si>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</si>
  <si>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</si>
  <si>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</si>
  <si>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</si>
  <si>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</si>
  <si>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</si>
  <si>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</si>
  <si>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</si>
  <si>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</si>
  <si>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</si>
  <si>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</si>
  <si>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</si>
  <si>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</si>
  <si>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</si>
  <si>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</si>
  <si>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</si>
  <si>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</si>
  <si>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</si>
  <si>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</si>
  <si>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</si>
  <si>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</si>
  <si>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</si>
  <si>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</si>
  <si>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</si>
  <si>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</si>
  <si>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</si>
  <si>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</si>
  <si>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</si>
  <si>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</si>
  <si>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</si>
  <si>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</si>
  <si>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</si>
  <si>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</si>
  <si>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</si>
  <si>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</si>
  <si>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</si>
  <si>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</si>
  <si>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</si>
  <si>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</si>
  <si>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</si>
  <si>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</si>
  <si>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</si>
  <si>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</si>
  <si>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</si>
  <si>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</si>
  <si>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</si>
  <si>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</si>
  <si>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</si>
  <si>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</si>
  <si>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</si>
  <si>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</si>
  <si>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</si>
  <si>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</si>
  <si>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</si>
  <si>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</si>
  <si>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</si>
  <si>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</si>
  <si>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</si>
  <si>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</si>
  <si>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</si>
  <si>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</si>
  <si>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</si>
  <si>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</si>
  <si>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</si>
  <si>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</si>
  <si>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</si>
  <si>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</si>
  <si>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</si>
  <si>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</si>
  <si>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</si>
  <si>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</si>
  <si>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</si>
  <si>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</si>
  <si>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</si>
  <si>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</si>
  <si>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</si>
  <si>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</si>
  <si>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</si>
  <si>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</si>
  <si>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</si>
  <si>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</si>
  <si>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</si>
  <si>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</si>
  <si>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</si>
  <si>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</si>
  <si>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</si>
  <si>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</si>
  <si>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</si>
  <si>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</si>
  <si>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</si>
  <si>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</si>
  <si>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</si>
  <si>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</si>
  <si>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</si>
  <si>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</si>
  <si>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</si>
  <si>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</si>
  <si>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</si>
  <si>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</si>
  <si>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</si>
  <si>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</si>
  <si>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</si>
  <si>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</si>
  <si>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</si>
  <si>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</si>
  <si>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</si>
  <si>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</si>
  <si>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</si>
  <si>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</si>
  <si>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</si>
  <si>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</si>
  <si>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</si>
  <si>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</si>
  <si>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</si>
  <si>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</si>
  <si>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</si>
  <si>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</si>
  <si>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</si>
  <si>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</si>
  <si>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</si>
  <si>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</si>
  <si>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</si>
  <si>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</si>
  <si>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</si>
  <si>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</si>
  <si>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</si>
  <si>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</si>
  <si>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</si>
  <si>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</si>
  <si>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</si>
  <si>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</si>
  <si>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</si>
  <si>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</si>
  <si>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</si>
  <si>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</si>
  <si>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</si>
  <si>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</si>
  <si>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</si>
  <si>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</si>
  <si>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</si>
  <si>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</si>
  <si>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</si>
  <si>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</si>
  <si>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</si>
  <si>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</si>
  <si>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</si>
  <si>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</si>
  <si>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</si>
  <si>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</si>
  <si>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</si>
  <si>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</si>
  <si>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</si>
  <si>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</si>
  <si>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</si>
  <si>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</si>
  <si>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</si>
  <si>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</si>
  <si>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</si>
  <si>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</si>
  <si>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</si>
  <si>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</si>
  <si>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</si>
  <si>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</si>
  <si>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</si>
  <si>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</si>
  <si>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</si>
  <si>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</si>
  <si>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</si>
  <si>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</si>
  <si>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</si>
  <si>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</si>
  <si>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</si>
  <si>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</si>
  <si>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</si>
  <si>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</si>
  <si>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</si>
  <si>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</si>
  <si>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</si>
  <si>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</si>
  <si>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</si>
  <si>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</si>
  <si>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</si>
  <si>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</si>
  <si>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</si>
  <si>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</si>
  <si>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</si>
  <si>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</si>
  <si>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</si>
  <si>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</si>
  <si>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</si>
  <si>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</si>
  <si>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</si>
  <si>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</si>
  <si>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</si>
  <si>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</si>
  <si>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</si>
  <si>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</si>
  <si>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</si>
  <si>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</si>
  <si>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</si>
  <si>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</si>
  <si>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</si>
  <si>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</si>
  <si>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</si>
  <si>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</si>
  <si>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</si>
  <si>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</si>
  <si>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</si>
  <si>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</si>
  <si>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</si>
  <si>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</si>
  <si>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</si>
  <si>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</si>
  <si>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</si>
  <si>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</si>
  <si>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</si>
  <si>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</si>
  <si>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</si>
  <si>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</si>
  <si>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</si>
  <si>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</si>
  <si>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</si>
  <si>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</si>
  <si>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</si>
  <si>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</si>
  <si>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</si>
  <si>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</si>
  <si>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</si>
  <si>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</si>
  <si>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</si>
  <si>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</si>
  <si>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</si>
  <si>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</si>
  <si>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</si>
  <si>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</si>
  <si>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</si>
  <si>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</si>
  <si>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</si>
  <si>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</si>
  <si>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</si>
  <si>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</si>
  <si>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</si>
  <si>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</si>
  <si>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</si>
  <si>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</si>
  <si>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</si>
  <si>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</si>
  <si>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</si>
  <si>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</si>
  <si>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</si>
  <si>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</si>
  <si>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</si>
  <si>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</si>
  <si>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</si>
  <si>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</si>
  <si>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</si>
  <si>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</si>
  <si>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</si>
  <si>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</si>
  <si>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</si>
  <si>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</si>
  <si>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</si>
  <si>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</si>
  <si>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</si>
  <si>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</si>
  <si>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</si>
  <si>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</si>
  <si>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</si>
  <si>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</si>
  <si>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</si>
  <si>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</si>
  <si>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</si>
  <si>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</si>
  <si>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</si>
  <si>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</si>
  <si>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</si>
  <si>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</si>
  <si>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</si>
  <si>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</si>
  <si>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</si>
  <si>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</si>
  <si>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</si>
  <si>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</si>
  <si>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</si>
  <si>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</si>
  <si>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</si>
  <si>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</si>
  <si>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</si>
  <si>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</si>
  <si>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</si>
  <si>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</si>
  <si>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</si>
  <si>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</si>
  <si>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</si>
  <si>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</si>
  <si>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</si>
  <si>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</si>
  <si>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</si>
  <si>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</si>
  <si>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</si>
  <si>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</si>
  <si>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</si>
  <si>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</si>
  <si>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</si>
  <si>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</si>
  <si>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</si>
  <si>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</si>
  <si>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</si>
  <si>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</si>
  <si>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</si>
  <si>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</si>
  <si>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</si>
  <si>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</si>
  <si>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</si>
  <si>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</si>
  <si>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</si>
  <si>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</si>
  <si>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</si>
  <si>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</si>
  <si>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</si>
  <si>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</si>
  <si>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</si>
  <si>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</si>
  <si>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</si>
  <si>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</si>
  <si>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</si>
  <si>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</si>
  <si>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</si>
  <si>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</si>
  <si>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</si>
  <si>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</si>
  <si>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</si>
  <si>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</si>
  <si>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</si>
  <si>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</si>
  <si>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</si>
  <si>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</si>
  <si>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</si>
  <si>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</si>
  <si>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</si>
  <si>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</si>
  <si>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</si>
  <si>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</si>
  <si>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</si>
  <si>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</si>
  <si>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</si>
  <si>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</si>
  <si>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</si>
  <si>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</si>
  <si>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</si>
  <si>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</si>
  <si>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</si>
  <si>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</si>
  <si>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</si>
  <si>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</si>
  <si>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</si>
  <si>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</si>
  <si>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</si>
  <si>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</si>
  <si>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</si>
  <si>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</si>
  <si>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</si>
  <si>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</si>
  <si>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</si>
  <si>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</si>
  <si>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</si>
  <si>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</si>
  <si>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</si>
  <si>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</si>
  <si>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</si>
  <si>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</si>
  <si>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</si>
  <si>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</si>
  <si>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</si>
  <si>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</si>
  <si>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20895</t>
  </si>
  <si>
    <t>219</t>
  </si>
  <si>
    <t>Humana Health Plan of Ohio, Inc.</t>
  </si>
  <si>
    <t>Humana Employers Health Plan of Georgia, Inc.</t>
  </si>
  <si>
    <t>Humana Health Plan,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</si>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</sst>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7859468</v>
      </c>
      <c r="E5" s="213">
        <f>SUM('Pt 2 Premium and Claims'!E$5,'Pt 2 Premium and Claims'!E$6,-'Pt 2 Premium and Claims'!E$7,-'Pt 2 Premium and Claims'!E$13,'Pt 2 Premium and Claims'!E$14:'Pt 2 Premium and Claims'!E$17)</f>
        <v>9407464.6500000004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12704804</v>
      </c>
      <c r="K5" s="213">
        <f>SUM('Pt 2 Premium and Claims'!K$5,'Pt 2 Premium and Claims'!K$6,-'Pt 2 Premium and Claims'!K$7,-'Pt 2 Premium and Claims'!K$13,'Pt 2 Premium and Claims'!K$14,'Pt 2 Premium and Claims'!K$16:'Pt 2 Premium and Claims'!K$17)</f>
        <v>12102656.101334799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2932427</v>
      </c>
      <c r="Q5" s="213">
        <f>SUM('Pt 2 Premium and Claims'!Q$5,'Pt 2 Premium and Claims'!Q$6,-'Pt 2 Premium and Claims'!Q$7,-'Pt 2 Premium and Claims'!Q$13,'Pt 2 Premium and Claims'!Q$14)</f>
        <v>2122886.9685291001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16307426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-71</v>
      </c>
      <c r="E7" s="217">
        <v>-70.8</v>
      </c>
      <c r="F7" s="217"/>
      <c r="G7" s="217"/>
      <c r="H7" s="217"/>
      <c r="I7" s="216"/>
      <c r="J7" s="216">
        <v>0</v>
      </c>
      <c r="K7" s="217">
        <v>-0.28999999999999998</v>
      </c>
      <c r="L7" s="217"/>
      <c r="M7" s="217"/>
      <c r="N7" s="217"/>
      <c r="O7" s="216"/>
      <c r="P7" s="216">
        <v>-124</v>
      </c>
      <c r="Q7" s="217">
        <v>-93.93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-42030</v>
      </c>
      <c r="E8" s="268"/>
      <c r="F8" s="269"/>
      <c r="G8" s="269"/>
      <c r="H8" s="269"/>
      <c r="I8" s="272"/>
      <c r="J8" s="216">
        <v>-22834</v>
      </c>
      <c r="K8" s="268"/>
      <c r="L8" s="269"/>
      <c r="M8" s="269"/>
      <c r="N8" s="269"/>
      <c r="O8" s="272"/>
      <c r="P8" s="216">
        <v>-2902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-10414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13156912</v>
      </c>
      <c r="E12" s="213">
        <f>'Pt 2 Premium and Claims'!E$54</f>
        <v>13692385.6555</v>
      </c>
      <c r="F12" s="213">
        <f>'Pt 2 Premium and Claims'!F$54</f>
        <v>0</v>
      </c>
      <c r="G12" s="213">
        <f>'Pt 2 Premium and Claims'!G$54</f>
        <v>0</v>
      </c>
      <c r="H12" s="213">
        <f>'Pt 2 Premium and Claims'!H$54</f>
        <v>0</v>
      </c>
      <c r="I12" s="212">
        <f>'Pt 2 Premium and Claims'!I$54</f>
        <v>0</v>
      </c>
      <c r="J12" s="212">
        <f>'Pt 2 Premium and Claims'!J$54</f>
        <v>12074156</v>
      </c>
      <c r="K12" s="213">
        <f>'Pt 2 Premium and Claims'!K$54</f>
        <v>11179962.058005245</v>
      </c>
      <c r="L12" s="213">
        <f>'Pt 2 Premium and Claims'!L$54</f>
        <v>0</v>
      </c>
      <c r="M12" s="213">
        <f>'Pt 2 Premium and Claims'!M$54</f>
        <v>0</v>
      </c>
      <c r="N12" s="213">
        <f>'Pt 2 Premium and Claims'!N$54</f>
        <v>0</v>
      </c>
      <c r="O12" s="212">
        <f>'Pt 2 Premium and Claims'!O$54</f>
        <v>0</v>
      </c>
      <c r="P12" s="212">
        <f>'Pt 2 Premium and Claims'!P$54</f>
        <v>2153168</v>
      </c>
      <c r="Q12" s="213">
        <f>'Pt 2 Premium and Claims'!Q$54</f>
        <v>1151481.148262002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10322992</v>
      </c>
      <c r="AU12" s="214">
        <f>'Pt 2 Premium and Claims'!AU$54</f>
        <v>0</v>
      </c>
      <c r="AV12" s="291"/>
      <c r="AW12" s="296"/>
    </row>
    <row r="13" spans="1:49" ht="25.5" x14ac:dyDescent="0.2">
      <c r="B13" s="239" t="s">
        <v>230</v>
      </c>
      <c r="C13" s="203" t="s">
        <v>37</v>
      </c>
      <c r="D13" s="216">
        <v>5351981</v>
      </c>
      <c r="E13" s="217">
        <v>5439388.0599999996</v>
      </c>
      <c r="F13" s="217"/>
      <c r="G13" s="268"/>
      <c r="H13" s="269"/>
      <c r="I13" s="216"/>
      <c r="J13" s="216">
        <v>1690084</v>
      </c>
      <c r="K13" s="217">
        <v>1708997.4868744195</v>
      </c>
      <c r="L13" s="217"/>
      <c r="M13" s="268"/>
      <c r="N13" s="269"/>
      <c r="O13" s="216"/>
      <c r="P13" s="216">
        <v>206774</v>
      </c>
      <c r="Q13" s="217">
        <v>193039.21312558051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16006</v>
      </c>
      <c r="AU13" s="220">
        <v>0</v>
      </c>
      <c r="AV13" s="290"/>
      <c r="AW13" s="297"/>
    </row>
    <row r="14" spans="1:49" ht="25.5" x14ac:dyDescent="0.2">
      <c r="B14" s="239" t="s">
        <v>231</v>
      </c>
      <c r="C14" s="203" t="s">
        <v>6</v>
      </c>
      <c r="D14" s="216">
        <v>131957</v>
      </c>
      <c r="E14" s="217">
        <v>131036.17</v>
      </c>
      <c r="F14" s="217"/>
      <c r="G14" s="267"/>
      <c r="H14" s="270"/>
      <c r="I14" s="216"/>
      <c r="J14" s="216">
        <v>237966</v>
      </c>
      <c r="K14" s="217">
        <v>241413.39790401972</v>
      </c>
      <c r="L14" s="217"/>
      <c r="M14" s="267"/>
      <c r="N14" s="270"/>
      <c r="O14" s="216"/>
      <c r="P14" s="216">
        <v>47294</v>
      </c>
      <c r="Q14" s="217">
        <v>45305.742095980284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248</v>
      </c>
      <c r="E15" s="217">
        <v>247.58</v>
      </c>
      <c r="F15" s="217"/>
      <c r="G15" s="267"/>
      <c r="H15" s="273"/>
      <c r="I15" s="216"/>
      <c r="J15" s="216">
        <v>416</v>
      </c>
      <c r="K15" s="217">
        <v>394.52349381149708</v>
      </c>
      <c r="L15" s="217"/>
      <c r="M15" s="267"/>
      <c r="N15" s="273"/>
      <c r="O15" s="216"/>
      <c r="P15" s="216">
        <v>126</v>
      </c>
      <c r="Q15" s="217">
        <v>100.97650618850291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519</v>
      </c>
      <c r="AU15" s="220">
        <v>0</v>
      </c>
      <c r="AV15" s="290"/>
      <c r="AW15" s="297"/>
    </row>
    <row r="16" spans="1:49" ht="25.5" x14ac:dyDescent="0.2">
      <c r="B16" s="239" t="s">
        <v>233</v>
      </c>
      <c r="C16" s="203" t="s">
        <v>61</v>
      </c>
      <c r="D16" s="216">
        <v>-2115222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32275</v>
      </c>
      <c r="AU16" s="220">
        <v>0</v>
      </c>
      <c r="AV16" s="290"/>
      <c r="AW16" s="297"/>
    </row>
    <row r="17" spans="1:49" x14ac:dyDescent="0.2">
      <c r="B17" s="239" t="s">
        <v>234</v>
      </c>
      <c r="C17" s="203" t="s">
        <v>62</v>
      </c>
      <c r="D17" s="216">
        <v>6831315</v>
      </c>
      <c r="E17" s="267"/>
      <c r="F17" s="270"/>
      <c r="G17" s="270"/>
      <c r="H17" s="270"/>
      <c r="I17" s="271"/>
      <c r="J17" s="216">
        <v>4056</v>
      </c>
      <c r="K17" s="267"/>
      <c r="L17" s="270"/>
      <c r="M17" s="270"/>
      <c r="N17" s="270"/>
      <c r="O17" s="271"/>
      <c r="P17" s="216">
        <v>138677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4702</v>
      </c>
      <c r="K19" s="267"/>
      <c r="L19" s="270"/>
      <c r="M19" s="270"/>
      <c r="N19" s="270"/>
      <c r="O19" s="271"/>
      <c r="P19" s="216">
        <v>141494</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646</v>
      </c>
      <c r="K20" s="267"/>
      <c r="L20" s="270"/>
      <c r="M20" s="270"/>
      <c r="N20" s="270"/>
      <c r="O20" s="271"/>
      <c r="P20" s="216">
        <v>2817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6019</v>
      </c>
      <c r="E22" s="222">
        <f>'Pt 2 Premium and Claims'!E$55</f>
        <v>6018.86</v>
      </c>
      <c r="F22" s="222">
        <f>'Pt 2 Premium and Claims'!F$55</f>
        <v>0</v>
      </c>
      <c r="G22" s="222">
        <f>'Pt 2 Premium and Claims'!G$55</f>
        <v>0</v>
      </c>
      <c r="H22" s="222">
        <f>'Pt 2 Premium and Claims'!H$55</f>
        <v>0</v>
      </c>
      <c r="I22" s="221">
        <f>'Pt 2 Premium and Claims'!I$55</f>
        <v>0</v>
      </c>
      <c r="J22" s="221">
        <f>'Pt 2 Premium and Claims'!J$55</f>
        <v>17879.34</v>
      </c>
      <c r="K22" s="222">
        <f>'Pt 2 Premium and Claims'!K$55</f>
        <v>16883.525781807606</v>
      </c>
      <c r="L22" s="222">
        <f>'Pt 2 Premium and Claims'!L$55</f>
        <v>0</v>
      </c>
      <c r="M22" s="222">
        <f>'Pt 2 Premium and Claims'!M$55</f>
        <v>0</v>
      </c>
      <c r="N22" s="222">
        <f>'Pt 2 Premium and Claims'!N$55</f>
        <v>0</v>
      </c>
      <c r="O22" s="221">
        <f>'Pt 2 Premium and Claims'!O$55</f>
        <v>0</v>
      </c>
      <c r="P22" s="221">
        <f>'Pt 2 Premium and Claims'!P$55</f>
        <v>988</v>
      </c>
      <c r="Q22" s="222">
        <f>'Pt 2 Premium and Claims'!Q$55</f>
        <v>617.04</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-1487866.08</v>
      </c>
      <c r="E25" s="217">
        <v>-1487866.0892988881</v>
      </c>
      <c r="F25" s="217"/>
      <c r="G25" s="217"/>
      <c r="H25" s="217"/>
      <c r="I25" s="216"/>
      <c r="J25" s="216">
        <v>-385693.61</v>
      </c>
      <c r="K25" s="217">
        <v>-307216.38038699672</v>
      </c>
      <c r="L25" s="217"/>
      <c r="M25" s="217"/>
      <c r="N25" s="217"/>
      <c r="O25" s="216"/>
      <c r="P25" s="216">
        <v>-157267.85</v>
      </c>
      <c r="Q25" s="217">
        <v>-74404.617063865764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560552.66</v>
      </c>
      <c r="AU25" s="220"/>
      <c r="AV25" s="220"/>
      <c r="AW25" s="297"/>
    </row>
    <row r="26" spans="1:49" s="5" customFormat="1" x14ac:dyDescent="0.2">
      <c r="A26" s="35"/>
      <c r="B26" s="242" t="s">
        <v>242</v>
      </c>
      <c r="C26" s="203"/>
      <c r="D26" s="216">
        <v>3734.25</v>
      </c>
      <c r="E26" s="217">
        <v>3734.25</v>
      </c>
      <c r="F26" s="217"/>
      <c r="G26" s="217"/>
      <c r="H26" s="217"/>
      <c r="I26" s="216"/>
      <c r="J26" s="216">
        <v>4619.18</v>
      </c>
      <c r="K26" s="217">
        <v>4600.2655266079892</v>
      </c>
      <c r="L26" s="217"/>
      <c r="M26" s="217"/>
      <c r="N26" s="217"/>
      <c r="O26" s="216"/>
      <c r="P26" s="216">
        <v>8074.26</v>
      </c>
      <c r="Q26" s="217">
        <v>6650.4644733920104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212.67</v>
      </c>
      <c r="AU26" s="220"/>
      <c r="AV26" s="220"/>
      <c r="AW26" s="297"/>
    </row>
    <row r="27" spans="1:49" s="5" customFormat="1" x14ac:dyDescent="0.2">
      <c r="B27" s="242" t="s">
        <v>243</v>
      </c>
      <c r="C27" s="203"/>
      <c r="D27" s="216">
        <v>129242.8</v>
      </c>
      <c r="E27" s="217">
        <v>129242.8</v>
      </c>
      <c r="F27" s="217"/>
      <c r="G27" s="217"/>
      <c r="H27" s="217"/>
      <c r="I27" s="216"/>
      <c r="J27" s="216">
        <v>218826.87</v>
      </c>
      <c r="K27" s="217">
        <v>207630.29378536111</v>
      </c>
      <c r="L27" s="217"/>
      <c r="M27" s="217"/>
      <c r="N27" s="217"/>
      <c r="O27" s="216"/>
      <c r="P27" s="216">
        <v>59834.22</v>
      </c>
      <c r="Q27" s="217">
        <v>47446.676214638894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153456.69</v>
      </c>
      <c r="AU27" s="220"/>
      <c r="AV27" s="293"/>
      <c r="AW27" s="297"/>
    </row>
    <row r="28" spans="1:49" s="5" customFormat="1" x14ac:dyDescent="0.2">
      <c r="A28" s="35"/>
      <c r="B28" s="242" t="s">
        <v>244</v>
      </c>
      <c r="C28" s="203"/>
      <c r="D28" s="216">
        <v>14648.12</v>
      </c>
      <c r="E28" s="217">
        <v>14648.12</v>
      </c>
      <c r="F28" s="217"/>
      <c r="G28" s="217"/>
      <c r="H28" s="217"/>
      <c r="I28" s="216"/>
      <c r="J28" s="216">
        <v>22581.11</v>
      </c>
      <c r="K28" s="217">
        <v>21393.194926662592</v>
      </c>
      <c r="L28" s="217"/>
      <c r="M28" s="217"/>
      <c r="N28" s="217"/>
      <c r="O28" s="216"/>
      <c r="P28" s="216">
        <v>6370.09</v>
      </c>
      <c r="Q28" s="217">
        <v>4389.5250733374087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44516.37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-114580.8</v>
      </c>
      <c r="E30" s="217">
        <v>-114580.80072765982</v>
      </c>
      <c r="F30" s="217"/>
      <c r="G30" s="217"/>
      <c r="H30" s="217"/>
      <c r="I30" s="216"/>
      <c r="J30" s="216">
        <v>-27393.48</v>
      </c>
      <c r="K30" s="217">
        <v>-21389.607982271034</v>
      </c>
      <c r="L30" s="217"/>
      <c r="M30" s="217"/>
      <c r="N30" s="217"/>
      <c r="O30" s="216"/>
      <c r="P30" s="216">
        <v>-11622.25</v>
      </c>
      <c r="Q30" s="217">
        <v>-5370.287996939267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49163.53</v>
      </c>
      <c r="AU30" s="220"/>
      <c r="AV30" s="220"/>
      <c r="AW30" s="297"/>
    </row>
    <row r="31" spans="1:49" x14ac:dyDescent="0.2">
      <c r="B31" s="242" t="s">
        <v>247</v>
      </c>
      <c r="C31" s="203"/>
      <c r="D31" s="216">
        <v>239394.58</v>
      </c>
      <c r="E31" s="217">
        <v>239394.58</v>
      </c>
      <c r="F31" s="217"/>
      <c r="G31" s="217"/>
      <c r="H31" s="217"/>
      <c r="I31" s="216"/>
      <c r="J31" s="216">
        <v>566877.65</v>
      </c>
      <c r="K31" s="217">
        <v>539696.06411951722</v>
      </c>
      <c r="L31" s="217"/>
      <c r="M31" s="217"/>
      <c r="N31" s="217"/>
      <c r="O31" s="216"/>
      <c r="P31" s="216">
        <v>113619.49</v>
      </c>
      <c r="Q31" s="217">
        <v>82621.715880482749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653306.56999999995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37325.99</v>
      </c>
      <c r="E34" s="217">
        <v>69031.64</v>
      </c>
      <c r="F34" s="217"/>
      <c r="G34" s="217"/>
      <c r="H34" s="217"/>
      <c r="I34" s="216"/>
      <c r="J34" s="216">
        <v>132674.79999999999</v>
      </c>
      <c r="K34" s="217">
        <v>133327.53896014136</v>
      </c>
      <c r="L34" s="217"/>
      <c r="M34" s="217"/>
      <c r="N34" s="217"/>
      <c r="O34" s="216"/>
      <c r="P34" s="216">
        <v>24674.47</v>
      </c>
      <c r="Q34" s="217">
        <v>24021.731039858641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5570.54</v>
      </c>
      <c r="E35" s="217">
        <v>5570.54</v>
      </c>
      <c r="F35" s="217"/>
      <c r="G35" s="217"/>
      <c r="H35" s="217"/>
      <c r="I35" s="216"/>
      <c r="J35" s="216">
        <v>10105.75</v>
      </c>
      <c r="K35" s="217">
        <v>9541.3378625496025</v>
      </c>
      <c r="L35" s="217"/>
      <c r="M35" s="217"/>
      <c r="N35" s="217"/>
      <c r="O35" s="216"/>
      <c r="P35" s="216">
        <v>2061.23</v>
      </c>
      <c r="Q35" s="217">
        <v>1445.742137450397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14047.88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23196</v>
      </c>
      <c r="E37" s="225">
        <v>23196.3</v>
      </c>
      <c r="F37" s="225"/>
      <c r="G37" s="225"/>
      <c r="H37" s="225"/>
      <c r="I37" s="224"/>
      <c r="J37" s="224">
        <v>25622</v>
      </c>
      <c r="K37" s="225">
        <v>26319.432661272487</v>
      </c>
      <c r="L37" s="225"/>
      <c r="M37" s="225"/>
      <c r="N37" s="225"/>
      <c r="O37" s="224"/>
      <c r="P37" s="224">
        <v>28254</v>
      </c>
      <c r="Q37" s="225">
        <v>21637.337338727513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401</v>
      </c>
      <c r="AU37" s="226">
        <v>0</v>
      </c>
      <c r="AV37" s="226">
        <v>25269</v>
      </c>
      <c r="AW37" s="296"/>
    </row>
    <row r="38" spans="1:49" x14ac:dyDescent="0.2">
      <c r="B38" s="239" t="s">
        <v>254</v>
      </c>
      <c r="C38" s="203" t="s">
        <v>16</v>
      </c>
      <c r="D38" s="216">
        <v>14471</v>
      </c>
      <c r="E38" s="217">
        <v>14471.3</v>
      </c>
      <c r="F38" s="217"/>
      <c r="G38" s="217"/>
      <c r="H38" s="217"/>
      <c r="I38" s="216"/>
      <c r="J38" s="216">
        <v>-17</v>
      </c>
      <c r="K38" s="217">
        <v>1390.3249324900703</v>
      </c>
      <c r="L38" s="217"/>
      <c r="M38" s="217"/>
      <c r="N38" s="217"/>
      <c r="O38" s="216"/>
      <c r="P38" s="216">
        <v>28437</v>
      </c>
      <c r="Q38" s="217">
        <v>21679.125067509929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v>
      </c>
      <c r="AU38" s="220">
        <v>0</v>
      </c>
      <c r="AV38" s="220">
        <v>31719</v>
      </c>
      <c r="AW38" s="297"/>
    </row>
    <row r="39" spans="1:49" x14ac:dyDescent="0.2">
      <c r="B39" s="242" t="s">
        <v>255</v>
      </c>
      <c r="C39" s="203" t="s">
        <v>17</v>
      </c>
      <c r="D39" s="216">
        <v>9452</v>
      </c>
      <c r="E39" s="217">
        <v>9452.06</v>
      </c>
      <c r="F39" s="217"/>
      <c r="G39" s="217"/>
      <c r="H39" s="217"/>
      <c r="I39" s="216"/>
      <c r="J39" s="216">
        <v>14814</v>
      </c>
      <c r="K39" s="217">
        <v>14975.551234928806</v>
      </c>
      <c r="L39" s="217"/>
      <c r="M39" s="217"/>
      <c r="N39" s="217"/>
      <c r="O39" s="216"/>
      <c r="P39" s="216">
        <v>7530</v>
      </c>
      <c r="Q39" s="217">
        <v>6191.9987650711937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2029</v>
      </c>
      <c r="AU39" s="220">
        <v>0</v>
      </c>
      <c r="AV39" s="220">
        <v>4912</v>
      </c>
      <c r="AW39" s="297"/>
    </row>
    <row r="40" spans="1:49" x14ac:dyDescent="0.2">
      <c r="B40" s="242" t="s">
        <v>256</v>
      </c>
      <c r="C40" s="203" t="s">
        <v>38</v>
      </c>
      <c r="D40" s="216">
        <v>9358</v>
      </c>
      <c r="E40" s="217">
        <v>9358.3700000000008</v>
      </c>
      <c r="F40" s="217"/>
      <c r="G40" s="217"/>
      <c r="H40" s="217"/>
      <c r="I40" s="216"/>
      <c r="J40" s="216">
        <v>112177</v>
      </c>
      <c r="K40" s="217">
        <v>112545.58778671616</v>
      </c>
      <c r="L40" s="217"/>
      <c r="M40" s="217"/>
      <c r="N40" s="217"/>
      <c r="O40" s="216"/>
      <c r="P40" s="216">
        <v>32973</v>
      </c>
      <c r="Q40" s="217">
        <v>27461.902213283833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63555</v>
      </c>
      <c r="AU40" s="220">
        <v>0</v>
      </c>
      <c r="AV40" s="220">
        <v>19446</v>
      </c>
      <c r="AW40" s="297"/>
    </row>
    <row r="41" spans="1:49" s="5" customFormat="1" ht="25.5" x14ac:dyDescent="0.2">
      <c r="A41" s="35"/>
      <c r="B41" s="242" t="s">
        <v>257</v>
      </c>
      <c r="C41" s="203" t="s">
        <v>129</v>
      </c>
      <c r="D41" s="216">
        <v>8480</v>
      </c>
      <c r="E41" s="217">
        <v>8479.84</v>
      </c>
      <c r="F41" s="217"/>
      <c r="G41" s="217"/>
      <c r="H41" s="217"/>
      <c r="I41" s="216"/>
      <c r="J41" s="216">
        <v>18409</v>
      </c>
      <c r="K41" s="217">
        <v>17412.236004460661</v>
      </c>
      <c r="L41" s="217"/>
      <c r="M41" s="217"/>
      <c r="N41" s="217"/>
      <c r="O41" s="216"/>
      <c r="P41" s="216">
        <v>4627</v>
      </c>
      <c r="Q41" s="217">
        <v>3134.1739955393396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26144</v>
      </c>
      <c r="AU41" s="220">
        <v>0</v>
      </c>
      <c r="AV41" s="220">
        <v>28</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84841</v>
      </c>
      <c r="E44" s="225">
        <v>84840.93</v>
      </c>
      <c r="F44" s="225"/>
      <c r="G44" s="225"/>
      <c r="H44" s="225"/>
      <c r="I44" s="224"/>
      <c r="J44" s="224">
        <v>112414</v>
      </c>
      <c r="K44" s="225">
        <v>109427.36042439715</v>
      </c>
      <c r="L44" s="225"/>
      <c r="M44" s="225"/>
      <c r="N44" s="225"/>
      <c r="O44" s="224"/>
      <c r="P44" s="224">
        <v>37612</v>
      </c>
      <c r="Q44" s="225">
        <v>29551.759575602853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129644</v>
      </c>
      <c r="AU44" s="226">
        <v>0</v>
      </c>
      <c r="AV44" s="226">
        <v>5751</v>
      </c>
      <c r="AW44" s="296"/>
    </row>
    <row r="45" spans="1:49" x14ac:dyDescent="0.2">
      <c r="B45" s="245" t="s">
        <v>261</v>
      </c>
      <c r="C45" s="203" t="s">
        <v>19</v>
      </c>
      <c r="D45" s="216">
        <v>41344</v>
      </c>
      <c r="E45" s="217">
        <v>41344.26</v>
      </c>
      <c r="F45" s="217"/>
      <c r="G45" s="217"/>
      <c r="H45" s="217"/>
      <c r="I45" s="216"/>
      <c r="J45" s="216">
        <v>72148</v>
      </c>
      <c r="K45" s="217">
        <v>68308.186563275143</v>
      </c>
      <c r="L45" s="217"/>
      <c r="M45" s="217"/>
      <c r="N45" s="217"/>
      <c r="O45" s="216"/>
      <c r="P45" s="216">
        <v>8060</v>
      </c>
      <c r="Q45" s="217">
        <v>4647.1634367248589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137637</v>
      </c>
      <c r="AU45" s="220">
        <v>0</v>
      </c>
      <c r="AV45" s="220">
        <v>0</v>
      </c>
      <c r="AW45" s="297"/>
    </row>
    <row r="46" spans="1:49" x14ac:dyDescent="0.2">
      <c r="B46" s="245" t="s">
        <v>262</v>
      </c>
      <c r="C46" s="203" t="s">
        <v>20</v>
      </c>
      <c r="D46" s="216">
        <v>20118</v>
      </c>
      <c r="E46" s="217">
        <v>20118.13</v>
      </c>
      <c r="F46" s="217"/>
      <c r="G46" s="217"/>
      <c r="H46" s="217"/>
      <c r="I46" s="216"/>
      <c r="J46" s="216">
        <v>54237</v>
      </c>
      <c r="K46" s="217">
        <v>51302.047352970701</v>
      </c>
      <c r="L46" s="217"/>
      <c r="M46" s="217"/>
      <c r="N46" s="217"/>
      <c r="O46" s="216"/>
      <c r="P46" s="216">
        <v>14655</v>
      </c>
      <c r="Q46" s="217">
        <v>9861.872647029295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90622</v>
      </c>
      <c r="AU46" s="220">
        <v>0</v>
      </c>
      <c r="AV46" s="220">
        <v>0</v>
      </c>
      <c r="AW46" s="297"/>
    </row>
    <row r="47" spans="1:49" x14ac:dyDescent="0.2">
      <c r="B47" s="245" t="s">
        <v>263</v>
      </c>
      <c r="C47" s="203" t="s">
        <v>21</v>
      </c>
      <c r="D47" s="216">
        <v>284914</v>
      </c>
      <c r="E47" s="217">
        <v>284914.49</v>
      </c>
      <c r="F47" s="217"/>
      <c r="G47" s="217"/>
      <c r="H47" s="217"/>
      <c r="I47" s="216"/>
      <c r="J47" s="216">
        <v>815921</v>
      </c>
      <c r="K47" s="217">
        <v>818146.13356331876</v>
      </c>
      <c r="L47" s="217"/>
      <c r="M47" s="217"/>
      <c r="N47" s="217"/>
      <c r="O47" s="216"/>
      <c r="P47" s="216">
        <v>127444</v>
      </c>
      <c r="Q47" s="217">
        <v>124040.31643668127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2309328</v>
      </c>
      <c r="AU47" s="220">
        <v>0</v>
      </c>
      <c r="AV47" s="220">
        <v>5265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-42338.19</v>
      </c>
      <c r="E49" s="217">
        <v>-42338.19</v>
      </c>
      <c r="F49" s="217"/>
      <c r="G49" s="217"/>
      <c r="H49" s="217"/>
      <c r="I49" s="216"/>
      <c r="J49" s="216">
        <v>-10741.05</v>
      </c>
      <c r="K49" s="217">
        <v>-9342.1138364574927</v>
      </c>
      <c r="L49" s="217"/>
      <c r="M49" s="217"/>
      <c r="N49" s="217"/>
      <c r="O49" s="216"/>
      <c r="P49" s="216">
        <v>-3318.54</v>
      </c>
      <c r="Q49" s="217">
        <v>-139.5861635425066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16599.07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455613</v>
      </c>
      <c r="E51" s="217">
        <v>455612.89</v>
      </c>
      <c r="F51" s="217"/>
      <c r="G51" s="217"/>
      <c r="H51" s="217"/>
      <c r="I51" s="216"/>
      <c r="J51" s="216">
        <v>697771</v>
      </c>
      <c r="K51" s="217">
        <v>657733.95977063617</v>
      </c>
      <c r="L51" s="217"/>
      <c r="M51" s="217"/>
      <c r="N51" s="217"/>
      <c r="O51" s="216"/>
      <c r="P51" s="216">
        <v>167738</v>
      </c>
      <c r="Q51" s="217">
        <v>110966.85022936384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707675</v>
      </c>
      <c r="AU51" s="220">
        <v>0</v>
      </c>
      <c r="AV51" s="220">
        <v>21248</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792</v>
      </c>
      <c r="E56" s="229">
        <v>792</v>
      </c>
      <c r="F56" s="229"/>
      <c r="G56" s="229"/>
      <c r="H56" s="229"/>
      <c r="I56" s="228"/>
      <c r="J56" s="228">
        <v>1241</v>
      </c>
      <c r="K56" s="229">
        <v>1031</v>
      </c>
      <c r="L56" s="229"/>
      <c r="M56" s="229"/>
      <c r="N56" s="229"/>
      <c r="O56" s="228"/>
      <c r="P56" s="228">
        <v>624</v>
      </c>
      <c r="Q56" s="229">
        <v>202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21142</v>
      </c>
      <c r="AU56" s="230">
        <v>0</v>
      </c>
      <c r="AV56" s="230">
        <v>0</v>
      </c>
      <c r="AW56" s="288"/>
    </row>
    <row r="57" spans="2:49" x14ac:dyDescent="0.2">
      <c r="B57" s="245" t="s">
        <v>272</v>
      </c>
      <c r="C57" s="203" t="s">
        <v>25</v>
      </c>
      <c r="D57" s="231">
        <v>1209</v>
      </c>
      <c r="E57" s="232">
        <v>1209</v>
      </c>
      <c r="F57" s="232"/>
      <c r="G57" s="232"/>
      <c r="H57" s="232"/>
      <c r="I57" s="231"/>
      <c r="J57" s="231">
        <v>2071</v>
      </c>
      <c r="K57" s="232">
        <v>1717</v>
      </c>
      <c r="L57" s="232"/>
      <c r="M57" s="232"/>
      <c r="N57" s="232"/>
      <c r="O57" s="231"/>
      <c r="P57" s="231">
        <v>1041</v>
      </c>
      <c r="Q57" s="232">
        <v>341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31934</v>
      </c>
      <c r="AU57" s="233">
        <v>0</v>
      </c>
      <c r="AV57" s="233">
        <v>0</v>
      </c>
      <c r="AW57" s="289"/>
    </row>
    <row r="58" spans="2:49" x14ac:dyDescent="0.2">
      <c r="B58" s="245" t="s">
        <v>273</v>
      </c>
      <c r="C58" s="203" t="s">
        <v>26</v>
      </c>
      <c r="D58" s="309"/>
      <c r="E58" s="310"/>
      <c r="F58" s="310"/>
      <c r="G58" s="310"/>
      <c r="H58" s="310"/>
      <c r="I58" s="309"/>
      <c r="J58" s="231">
        <v>157</v>
      </c>
      <c r="K58" s="232">
        <v>157</v>
      </c>
      <c r="L58" s="232"/>
      <c r="M58" s="232"/>
      <c r="N58" s="232"/>
      <c r="O58" s="231"/>
      <c r="P58" s="231">
        <v>12</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768</v>
      </c>
      <c r="AU58" s="233">
        <v>0</v>
      </c>
      <c r="AV58" s="233">
        <v>0</v>
      </c>
      <c r="AW58" s="289"/>
    </row>
    <row r="59" spans="2:49" x14ac:dyDescent="0.2">
      <c r="B59" s="245" t="s">
        <v>274</v>
      </c>
      <c r="C59" s="203" t="s">
        <v>27</v>
      </c>
      <c r="D59" s="231">
        <v>17281</v>
      </c>
      <c r="E59" s="232">
        <v>17260</v>
      </c>
      <c r="F59" s="232"/>
      <c r="G59" s="232"/>
      <c r="H59" s="232"/>
      <c r="I59" s="231"/>
      <c r="J59" s="231">
        <v>37927</v>
      </c>
      <c r="K59" s="232">
        <v>31901</v>
      </c>
      <c r="L59" s="232"/>
      <c r="M59" s="232"/>
      <c r="N59" s="232"/>
      <c r="O59" s="231"/>
      <c r="P59" s="231">
        <v>14071</v>
      </c>
      <c r="Q59" s="232">
        <v>5641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408506</v>
      </c>
      <c r="AU59" s="233">
        <v>0</v>
      </c>
      <c r="AV59" s="233">
        <v>0</v>
      </c>
      <c r="AW59" s="289"/>
    </row>
    <row r="60" spans="2:49" x14ac:dyDescent="0.2">
      <c r="B60" s="245" t="s">
        <v>275</v>
      </c>
      <c r="C60" s="203"/>
      <c r="D60" s="234">
        <f t="shared" ref="D60:AC60" si="0">D$59/12</f>
        <v>1440.0833333333333</v>
      </c>
      <c r="E60" s="235">
        <f t="shared" si="0"/>
        <v>1438.3333333333333</v>
      </c>
      <c r="F60" s="235">
        <f t="shared" si="0"/>
        <v>0</v>
      </c>
      <c r="G60" s="235">
        <f t="shared" si="0"/>
        <v>0</v>
      </c>
      <c r="H60" s="235">
        <f t="shared" si="0"/>
        <v>0</v>
      </c>
      <c r="I60" s="234">
        <f t="shared" si="0"/>
        <v>0</v>
      </c>
      <c r="J60" s="234">
        <f t="shared" si="0"/>
        <v>3160.5833333333335</v>
      </c>
      <c r="K60" s="235">
        <f t="shared" si="0"/>
        <v>2658.4166666666665</v>
      </c>
      <c r="L60" s="235">
        <f t="shared" si="0"/>
        <v>0</v>
      </c>
      <c r="M60" s="235">
        <f t="shared" si="0"/>
        <v>0</v>
      </c>
      <c r="N60" s="235">
        <f t="shared" si="0"/>
        <v>0</v>
      </c>
      <c r="O60" s="234">
        <f t="shared" si="0"/>
        <v>0</v>
      </c>
      <c r="P60" s="234">
        <f t="shared" si="0"/>
        <v>1172.5833333333333</v>
      </c>
      <c r="Q60" s="235">
        <f t="shared" si="0"/>
        <v>470.08333333333331</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34042.166666666664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7852277</v>
      </c>
      <c r="E5" s="326">
        <v>5939058.0499999998</v>
      </c>
      <c r="F5" s="326"/>
      <c r="G5" s="328"/>
      <c r="H5" s="328"/>
      <c r="I5" s="325"/>
      <c r="J5" s="325">
        <v>12704804</v>
      </c>
      <c r="K5" s="326">
        <v>13243679.3113348</v>
      </c>
      <c r="L5" s="326"/>
      <c r="M5" s="326"/>
      <c r="N5" s="326"/>
      <c r="O5" s="325"/>
      <c r="P5" s="325">
        <v>2932427</v>
      </c>
      <c r="Q5" s="326">
        <v>2122886.9685291001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16310611</v>
      </c>
      <c r="AU5" s="327">
        <v>0</v>
      </c>
      <c r="AV5" s="369"/>
      <c r="AW5" s="373"/>
    </row>
    <row r="6" spans="2:49" x14ac:dyDescent="0.2">
      <c r="B6" s="343" t="s">
        <v>278</v>
      </c>
      <c r="C6" s="331" t="s">
        <v>8</v>
      </c>
      <c r="D6" s="318">
        <v>11586</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77621</v>
      </c>
      <c r="AU6" s="321">
        <v>0</v>
      </c>
      <c r="AV6" s="368"/>
      <c r="AW6" s="374"/>
    </row>
    <row r="7" spans="2:49" x14ac:dyDescent="0.2">
      <c r="B7" s="343" t="s">
        <v>279</v>
      </c>
      <c r="C7" s="331" t="s">
        <v>9</v>
      </c>
      <c r="D7" s="318">
        <v>4395</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80806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646</v>
      </c>
      <c r="K11" s="319"/>
      <c r="L11" s="319"/>
      <c r="M11" s="319"/>
      <c r="N11" s="319"/>
      <c r="O11" s="318"/>
      <c r="P11" s="318">
        <v>2817</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4702</v>
      </c>
      <c r="K12" s="363"/>
      <c r="L12" s="363"/>
      <c r="M12" s="363"/>
      <c r="N12" s="363"/>
      <c r="O12" s="365"/>
      <c r="P12" s="318">
        <v>141494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2036876.71</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1431529.89</v>
      </c>
      <c r="F16" s="319"/>
      <c r="G16" s="319"/>
      <c r="H16" s="319"/>
      <c r="I16" s="318"/>
      <c r="J16" s="318"/>
      <c r="K16" s="319">
        <v>-1141023.21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-10414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15614992</v>
      </c>
      <c r="E23" s="362"/>
      <c r="F23" s="362"/>
      <c r="G23" s="362"/>
      <c r="H23" s="362"/>
      <c r="I23" s="364"/>
      <c r="J23" s="318">
        <v>12723858</v>
      </c>
      <c r="K23" s="362"/>
      <c r="L23" s="362"/>
      <c r="M23" s="362"/>
      <c r="N23" s="362"/>
      <c r="O23" s="364"/>
      <c r="P23" s="318">
        <v>2304661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10473179</v>
      </c>
      <c r="AU23" s="321">
        <v>0</v>
      </c>
      <c r="AV23" s="368"/>
      <c r="AW23" s="374"/>
    </row>
    <row r="24" spans="2:49" ht="28.5" customHeight="1" x14ac:dyDescent="0.2">
      <c r="B24" s="345" t="s">
        <v>114</v>
      </c>
      <c r="C24" s="331"/>
      <c r="D24" s="365"/>
      <c r="E24" s="319">
        <v>14597740.66</v>
      </c>
      <c r="F24" s="319"/>
      <c r="G24" s="319"/>
      <c r="H24" s="319"/>
      <c r="I24" s="318"/>
      <c r="J24" s="365"/>
      <c r="K24" s="319">
        <v>11243953.869999999</v>
      </c>
      <c r="L24" s="319"/>
      <c r="M24" s="319"/>
      <c r="N24" s="319"/>
      <c r="O24" s="318"/>
      <c r="P24" s="365"/>
      <c r="Q24" s="319">
        <v>1248623.6299999999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1264913</v>
      </c>
      <c r="E26" s="362"/>
      <c r="F26" s="362"/>
      <c r="G26" s="362"/>
      <c r="H26" s="362"/>
      <c r="I26" s="364"/>
      <c r="J26" s="318">
        <v>1034879</v>
      </c>
      <c r="K26" s="362"/>
      <c r="L26" s="362"/>
      <c r="M26" s="362"/>
      <c r="N26" s="362"/>
      <c r="O26" s="364"/>
      <c r="P26" s="318">
        <v>338364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953105</v>
      </c>
      <c r="AU26" s="321">
        <v>0</v>
      </c>
      <c r="AV26" s="368"/>
      <c r="AW26" s="374"/>
    </row>
    <row r="27" spans="2:49" s="5" customFormat="1" ht="25.5" x14ac:dyDescent="0.2">
      <c r="B27" s="345" t="s">
        <v>85</v>
      </c>
      <c r="C27" s="331"/>
      <c r="D27" s="365"/>
      <c r="E27" s="319">
        <v>210111.89549999969</v>
      </c>
      <c r="F27" s="319"/>
      <c r="G27" s="319"/>
      <c r="H27" s="319"/>
      <c r="I27" s="318"/>
      <c r="J27" s="365"/>
      <c r="K27" s="319">
        <v>179989.1428806521</v>
      </c>
      <c r="L27" s="319"/>
      <c r="M27" s="319"/>
      <c r="N27" s="319"/>
      <c r="O27" s="318"/>
      <c r="P27" s="365"/>
      <c r="Q27" s="319">
        <v>22934.86411934792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2732669</v>
      </c>
      <c r="E28" s="363"/>
      <c r="F28" s="363"/>
      <c r="G28" s="363"/>
      <c r="H28" s="363"/>
      <c r="I28" s="365"/>
      <c r="J28" s="318">
        <v>1647412</v>
      </c>
      <c r="K28" s="363"/>
      <c r="L28" s="363"/>
      <c r="M28" s="363"/>
      <c r="N28" s="363"/>
      <c r="O28" s="365"/>
      <c r="P28" s="318">
        <v>359718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1103279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5838</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-1741.32</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7579</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93713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93712.73</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1078143</v>
      </c>
      <c r="E36" s="319">
        <v>1078143.46</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646</v>
      </c>
      <c r="K41" s="362"/>
      <c r="L41" s="362"/>
      <c r="M41" s="362"/>
      <c r="N41" s="362"/>
      <c r="O41" s="364"/>
      <c r="P41" s="318">
        <v>2817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4702</v>
      </c>
      <c r="K43" s="363"/>
      <c r="L43" s="363"/>
      <c r="M43" s="363"/>
      <c r="N43" s="363"/>
      <c r="O43" s="365"/>
      <c r="P43" s="318">
        <v>141494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32250</v>
      </c>
      <c r="E49" s="319">
        <v>131036.17</v>
      </c>
      <c r="F49" s="319"/>
      <c r="G49" s="319"/>
      <c r="H49" s="319"/>
      <c r="I49" s="318"/>
      <c r="J49" s="318">
        <v>77612</v>
      </c>
      <c r="K49" s="319">
        <v>241413.39790401972</v>
      </c>
      <c r="L49" s="319"/>
      <c r="M49" s="319"/>
      <c r="N49" s="319"/>
      <c r="O49" s="318"/>
      <c r="P49" s="318">
        <v>82</v>
      </c>
      <c r="Q49" s="319">
        <v>45305.742095980284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172</v>
      </c>
      <c r="AU49" s="321">
        <v>0</v>
      </c>
      <c r="AV49" s="368"/>
      <c r="AW49" s="374"/>
    </row>
    <row r="50" spans="2:49" x14ac:dyDescent="0.2">
      <c r="B50" s="343" t="s">
        <v>119</v>
      </c>
      <c r="C50" s="331" t="s">
        <v>34</v>
      </c>
      <c r="D50" s="318">
        <v>26356</v>
      </c>
      <c r="E50" s="363"/>
      <c r="F50" s="363"/>
      <c r="G50" s="363"/>
      <c r="H50" s="363"/>
      <c r="I50" s="365"/>
      <c r="J50" s="318">
        <v>46240</v>
      </c>
      <c r="K50" s="363"/>
      <c r="L50" s="363"/>
      <c r="M50" s="363"/>
      <c r="N50" s="363"/>
      <c r="O50" s="365"/>
      <c r="P50" s="318">
        <v>8620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159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-826.23697138625062</v>
      </c>
      <c r="L53" s="319"/>
      <c r="M53" s="319"/>
      <c r="N53" s="319"/>
      <c r="O53" s="318"/>
      <c r="P53" s="318">
        <v>0</v>
      </c>
      <c r="Q53" s="319">
        <v>-74771.603761365317</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13156912</v>
      </c>
      <c r="E54" s="323">
        <f>E24+E27+E31+E35-E36+E39+E42+E45+E46-E49+E51+E52+E53</f>
        <v>13692385.6555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12074156</v>
      </c>
      <c r="K54" s="323">
        <f>K24+K27+K31+K35-K36+K39+K42+K45+K46-K49+K51+K52+K53</f>
        <v>11179962.058005245</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2153168</v>
      </c>
      <c r="Q54" s="323">
        <f>Q24+Q27+Q31+Q35-Q36+Q39+Q42+Q45+Q46-Q49+Q51+Q52+Q53</f>
        <v>1151481.148262002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10322992</v>
      </c>
      <c r="AU54" s="324">
        <f>AU23+AU26-AU28+AU30-AU32+AU34-AU36+AU38+AU41-AU43+AU45+AU46-AU47-AU49+AU50+AU51+AU52+AU53</f>
        <v>0</v>
      </c>
      <c r="AV54" s="368"/>
      <c r="AW54" s="374"/>
    </row>
    <row r="55" spans="2:49" ht="25.5" x14ac:dyDescent="0.2">
      <c r="B55" s="348" t="s">
        <v>493</v>
      </c>
      <c r="C55" s="335" t="s">
        <v>28</v>
      </c>
      <c r="D55" s="322">
        <f t="shared" ref="D55:AC55" si="0">MIN(MAX(0,D56),MAX(0,D57))</f>
        <v>6019</v>
      </c>
      <c r="E55" s="323">
        <f t="shared" si="0"/>
        <v>6018.86</v>
      </c>
      <c r="F55" s="323">
        <f t="shared" si="0"/>
        <v>0</v>
      </c>
      <c r="G55" s="323">
        <f t="shared" si="0"/>
        <v>0</v>
      </c>
      <c r="H55" s="323">
        <f t="shared" si="0"/>
        <v>0</v>
      </c>
      <c r="I55" s="322">
        <f t="shared" si="0"/>
        <v>0</v>
      </c>
      <c r="J55" s="322">
        <f t="shared" si="0"/>
        <v>17879.34</v>
      </c>
      <c r="K55" s="323">
        <f t="shared" si="0"/>
        <v>16883.525781807606</v>
      </c>
      <c r="L55" s="323">
        <f t="shared" si="0"/>
        <v>0</v>
      </c>
      <c r="M55" s="323">
        <f t="shared" si="0"/>
        <v>0</v>
      </c>
      <c r="N55" s="323">
        <f t="shared" si="0"/>
        <v>0</v>
      </c>
      <c r="O55" s="322">
        <f t="shared" si="0"/>
        <v>0</v>
      </c>
      <c r="P55" s="322">
        <f t="shared" si="0"/>
        <v>988</v>
      </c>
      <c r="Q55" s="323">
        <f t="shared" si="0"/>
        <v>617.04</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8353.59</v>
      </c>
      <c r="E56" s="319">
        <v>8353.59</v>
      </c>
      <c r="F56" s="319"/>
      <c r="G56" s="319"/>
      <c r="H56" s="319"/>
      <c r="I56" s="318"/>
      <c r="J56" s="318">
        <v>17879.34</v>
      </c>
      <c r="K56" s="319">
        <v>16883.525781807606</v>
      </c>
      <c r="L56" s="319"/>
      <c r="M56" s="319"/>
      <c r="N56" s="319"/>
      <c r="O56" s="318"/>
      <c r="P56" s="318">
        <v>4518.13</v>
      </c>
      <c r="Q56" s="319">
        <v>3032.2042181923957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6019</v>
      </c>
      <c r="E57" s="319">
        <v>6018.86</v>
      </c>
      <c r="F57" s="319"/>
      <c r="G57" s="319"/>
      <c r="H57" s="319"/>
      <c r="I57" s="318"/>
      <c r="J57" s="318">
        <v>36146</v>
      </c>
      <c r="K57" s="319">
        <v>35743.769999999997</v>
      </c>
      <c r="L57" s="319"/>
      <c r="M57" s="319"/>
      <c r="N57" s="319"/>
      <c r="O57" s="318"/>
      <c r="P57" s="318">
        <v>988</v>
      </c>
      <c r="Q57" s="319">
        <v>617.04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2648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5309772.93</v>
      </c>
      <c r="D5" s="403">
        <v>12735680.640000001</v>
      </c>
      <c r="E5" s="454"/>
      <c r="F5" s="454"/>
      <c r="G5" s="448"/>
      <c r="H5" s="402">
        <v>11990151.15</v>
      </c>
      <c r="I5" s="403">
        <v>15614802.09</v>
      </c>
      <c r="J5" s="454"/>
      <c r="K5" s="454"/>
      <c r="L5" s="448"/>
      <c r="M5" s="402">
        <v>1684082.01</v>
      </c>
      <c r="N5" s="403">
        <v>3293442.79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5324500.1529999999</v>
      </c>
      <c r="D6" s="398">
        <v>11647725.7579</v>
      </c>
      <c r="E6" s="400">
        <f>SUM('Pt 1 Summary of Data'!E$12,'Pt 1 Summary of Data'!E$22)+SUM('Pt 1 Summary of Data'!G$12,'Pt 1 Summary of Data'!G$22)-SUM('Pt 1 Summary of Data'!H$12,'Pt 1 Summary of Data'!H$22)</f>
        <v>13698404.5155</v>
      </c>
      <c r="F6" s="400">
        <f t="shared" ref="F6:F11" si="0">SUM(C6:E6)</f>
        <v>30670630.426399998</v>
      </c>
      <c r="G6" s="401">
        <f>SUM('Pt 1 Summary of Data'!I$12,'Pt 1 Summary of Data'!I$22)</f>
        <v>0</v>
      </c>
      <c r="H6" s="397">
        <v>11993529.769731238</v>
      </c>
      <c r="I6" s="398">
        <v>15882354.183111977</v>
      </c>
      <c r="J6" s="400">
        <f>SUM('Pt 1 Summary of Data'!K$12,'Pt 1 Summary of Data'!K$22)+SUM('Pt 1 Summary of Data'!M$12,'Pt 1 Summary of Data'!M$22)-SUM('Pt 1 Summary of Data'!N$12,'Pt 1 Summary of Data'!N$22)</f>
        <v>11196845.583787054</v>
      </c>
      <c r="K6" s="400">
        <f>SUM(H6:J6)</f>
        <v>39072729.536630273</v>
      </c>
      <c r="L6" s="401">
        <f>SUM('Pt 1 Summary of Data'!O$12,'Pt 1 Summary of Data'!O$22)</f>
        <v>0</v>
      </c>
      <c r="M6" s="397">
        <v>1681662.0103123542</v>
      </c>
      <c r="N6" s="398">
        <v>3094368.8891371279</v>
      </c>
      <c r="O6" s="400">
        <f>SUM('Pt 1 Summary of Data'!Q$12,'Pt 1 Summary of Data'!Q$22)+SUM('Pt 1 Summary of Data'!S$12,'Pt 1 Summary of Data'!S$22)-SUM('Pt 1 Summary of Data'!T$12,'Pt 1 Summary of Data'!T$22)</f>
        <v>1152098.1882620021</v>
      </c>
      <c r="P6" s="400">
        <f>SUM(M6:O6)</f>
        <v>5928129.0877114851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74098.98</v>
      </c>
      <c r="D7" s="398">
        <v>52990.93</v>
      </c>
      <c r="E7" s="400">
        <f>SUM('Pt 1 Summary of Data'!E$37:E$41)+SUM('Pt 1 Summary of Data'!G$37:G$41)-SUM('Pt 1 Summary of Data'!H$37:H$41)+MAX(0,MIN('Pt 1 Summary of Data'!E$42+'Pt 1 Summary of Data'!G$42-'Pt 1 Summary of Data'!H$42,0.3%*('Pt 1 Summary of Data'!E$5+'Pt 1 Summary of Data'!G$5-'Pt 1 Summary of Data'!H$5-SUM(E$9:E$11))))</f>
        <v>64957.869999999995</v>
      </c>
      <c r="F7" s="400">
        <f t="shared" si="0"/>
        <v>192047.78</v>
      </c>
      <c r="G7" s="401">
        <f>SUM('Pt 1 Summary of Data'!I$37:I$41)+MAX(0,MIN(VALUE('Pt 1 Summary of Data'!I$42),0.3%*('Pt 1 Summary of Data'!I$5-SUM(G$9:G$10))))</f>
        <v>0</v>
      </c>
      <c r="H7" s="397">
        <v>286869.7</v>
      </c>
      <c r="I7" s="398">
        <v>269903.14</v>
      </c>
      <c r="J7" s="400">
        <f>SUM('Pt 1 Summary of Data'!K$37:K$41)+SUM('Pt 1 Summary of Data'!M$37:M$41)-SUM('Pt 1 Summary of Data'!N$37:N$41)+MAX(0,MIN('Pt 1 Summary of Data'!K$42+'Pt 1 Summary of Data'!M$42-'Pt 1 Summary of Data'!N$42,0.3%*('Pt 1 Summary of Data'!K$5+'Pt 1 Summary of Data'!M$5-'Pt 1 Summary of Data'!N$5-SUM(J$10:J$11))))</f>
        <v>172643.13261986818</v>
      </c>
      <c r="K7" s="400">
        <f>SUM(H7:J7)</f>
        <v>729415.97261986823</v>
      </c>
      <c r="L7" s="401">
        <f>SUM('Pt 1 Summary of Data'!O$37:O$41)+MAX(0,MIN(VALUE('Pt 1 Summary of Data'!O$42),0.3%*('Pt 1 Summary of Data'!O$5-L$10)))</f>
        <v>0</v>
      </c>
      <c r="M7" s="397">
        <v>45503.08</v>
      </c>
      <c r="N7" s="398">
        <v>31439.9</v>
      </c>
      <c r="O7" s="400">
        <f>SUM('Pt 1 Summary of Data'!Q$37:Q$41)+SUM('Pt 1 Summary of Data'!S$37:S$41)-SUM('Pt 1 Summary of Data'!T$37:T$41)+MAX(0,MIN('Pt 1 Summary of Data'!Q$42+'Pt 1 Summary of Data'!S$42-'Pt 1 Summary of Data'!T$42,0.3%*('Pt 1 Summary of Data'!Q$5+'Pt 1 Summary of Data'!S$5-'Pt 1 Summary of Data'!T$5)))</f>
        <v>80104.537380131806</v>
      </c>
      <c r="P7" s="400">
        <f>SUM(M7:O7)</f>
        <v>157047.51738013182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2142999.48</v>
      </c>
      <c r="E9" s="400">
        <f>'Pt 2 Premium and Claims'!E$15+'Pt 2 Premium and Claims'!G$15-'Pt 2 Premium and Claims'!H$15</f>
        <v>2036876.71</v>
      </c>
      <c r="F9" s="400">
        <f t="shared" si="0"/>
        <v>4179876.19</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1873080.72</v>
      </c>
      <c r="E10" s="400">
        <f>'Pt 2 Premium and Claims'!E$16+'Pt 2 Premium and Claims'!G$16-'Pt 2 Premium and Claims'!H$16</f>
        <v>1431529.89</v>
      </c>
      <c r="F10" s="400">
        <f t="shared" si="0"/>
        <v>3304610.61</v>
      </c>
      <c r="G10" s="401">
        <f>'Pt 2 Premium and Claims'!I$16</f>
        <v>0</v>
      </c>
      <c r="H10" s="443"/>
      <c r="I10" s="398">
        <v>-358567.41</v>
      </c>
      <c r="J10" s="400">
        <f>'Pt 2 Premium and Claims'!K$16+'Pt 2 Premium and Claims'!M$16-'Pt 2 Premium and Claims'!N$16</f>
        <v>-1141023.21</v>
      </c>
      <c r="K10" s="400">
        <f>SUM(H10:J10)</f>
        <v>-1499590.6199999999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5398599.1330000004</v>
      </c>
      <c r="D12" s="400">
        <f>SUM(D$6:D$7) - SUM(D$8:D$11)+IF(AND(OR('Company Information'!$C$12="District of Columbia",'Company Information'!$C$12="Massachusetts",'Company Information'!$C$12="Vermont"),SUM($C$6:$F$11,$C$15:$F$16,$C$38:$D$38)&lt;&gt;0),SUM(I$6:I$7) - SUM(I$10:I$11),0)</f>
        <v>7684636.4878999991</v>
      </c>
      <c r="E12" s="400">
        <f>SUM(E$6:E$7)-SUM(E$8:E$11)+IF(AND(OR('Company Information'!$C$12="District of Columbia",'Company Information'!$C$12="Massachusetts",'Company Information'!$C$12="Vermont"),SUM($C$6:$F$11,$C$15:$F$16,$C$38:$D$38)&lt;&gt;0),SUM(J$6:J$7)-SUM(J$10:J$11),0)</f>
        <v>10294955.785499999</v>
      </c>
      <c r="F12" s="400">
        <f>IFERROR(SUM(C$12:E$12)+C$17*MAX(0,E$50-C$50)+D$17*MAX(0,E$50-D$50),0)</f>
        <v>23378191.406399999</v>
      </c>
      <c r="G12" s="447"/>
      <c r="H12" s="399">
        <f>SUM(H$6:H$7)+IF(AND(OR('Company Information'!$C$12="District of Columbia",'Company Information'!$C$12="Massachusetts",'Company Information'!$C$12="Vermont"),SUM($H$6:$K$11,$H$15:$K$16,$H$38:$I$38)&lt;&gt;0),SUM(C$6:C$7),0)</f>
        <v>12280399.469731238</v>
      </c>
      <c r="I12" s="400">
        <f>SUM(I$6:I$7) - SUM(I$10:I$11)+IF(AND(OR('Company Information'!$C$12="District of Columbia",'Company Information'!$C$12="Massachusetts",'Company Information'!$C$12="Vermont"),SUM($H$6:$K$11,$H$15:$K$16,$H$38:$I$38)&lt;&gt;0),SUM(D$6:D$7) - SUM(D$8:D$11),0)</f>
        <v>16510824.733111978</v>
      </c>
      <c r="J12" s="400">
        <f>SUM(J$6:J$7)-SUM(J$10:J$11)+IF(AND(OR('Company Information'!$C$12="District of Columbia",'Company Information'!$C$12="Massachusetts",'Company Information'!$C$12="Vermont"),SUM($H$6:$K$11,$H$15:$K$16,$H$38:$I$38)&lt;&gt;0),SUM(E$6:E$7)-SUM(E$8:E$11),0)</f>
        <v>12510511.926406924</v>
      </c>
      <c r="K12" s="400">
        <f>IFERROR(SUM(H$12:J$12)+H$17*MAX(0,J$50-H$50)+I$17*MAX(0,J$50-I$50),0)</f>
        <v>41301736.129250139</v>
      </c>
      <c r="L12" s="447"/>
      <c r="M12" s="399">
        <f>SUM(M$6:M$7)</f>
        <v>1727165.0903123543</v>
      </c>
      <c r="N12" s="400">
        <f>SUM(N$6:N$7)</f>
        <v>3125808.7891371278</v>
      </c>
      <c r="O12" s="400">
        <f>SUM(O$6:O$7)</f>
        <v>1232202.725642134</v>
      </c>
      <c r="P12" s="400">
        <f>SUM(M$12:O$12)+M$17*MAX(0,O$50-M$50)+N$17*MAX(0,O$50-N$50)</f>
        <v>6085176.6050916165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5679327.7800000003</v>
      </c>
      <c r="D15" s="403">
        <v>7421021.3200000003</v>
      </c>
      <c r="E15" s="395">
        <f>SUM('Pt 1 Summary of Data'!E$5:E$7)+SUM('Pt 1 Summary of Data'!G$5:G$7)-SUM('Pt 1 Summary of Data'!H$5:H$7)-SUM(E$9:E$11)</f>
        <v>5938987.25</v>
      </c>
      <c r="F15" s="395">
        <f>SUM(C15:E15)</f>
        <v>19039336.350000001</v>
      </c>
      <c r="G15" s="396">
        <f>SUM('Pt 1 Summary of Data'!I$5:I$7)-SUM(G$9:G$10)</f>
        <v>0</v>
      </c>
      <c r="H15" s="402">
        <v>17592801.800000001</v>
      </c>
      <c r="I15" s="403">
        <v>19064967.120000001</v>
      </c>
      <c r="J15" s="395">
        <f>SUM('Pt 1 Summary of Data'!K$5:K$7)+SUM('Pt 1 Summary of Data'!M$5:M$7)-SUM('Pt 1 Summary of Data'!N$5:N$7)-SUM(J$10:J$11)</f>
        <v>13243679.021334801</v>
      </c>
      <c r="K15" s="395">
        <f>SUM(H15:J15)</f>
        <v>49901447.941334799</v>
      </c>
      <c r="L15" s="396">
        <f>SUM('Pt 1 Summary of Data'!O$5:O$7)-L$10</f>
        <v>0</v>
      </c>
      <c r="M15" s="402">
        <v>2398808.46</v>
      </c>
      <c r="N15" s="403">
        <v>2830066.23</v>
      </c>
      <c r="O15" s="395">
        <f>SUM('Pt 1 Summary of Data'!Q$5:Q$7)+SUM('Pt 1 Summary of Data'!S$5:S$7)-SUM('Pt 1 Summary of Data'!T$5:T$7)+N$56</f>
        <v>2122793.0385290999</v>
      </c>
      <c r="P15" s="395">
        <f>SUM(M15:O15)</f>
        <v>7351667.7285290994</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-68604.320000000007</v>
      </c>
      <c r="D16" s="398">
        <v>-537415.81000000006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-1140824.9600265478</v>
      </c>
      <c r="F16" s="400">
        <f>SUM(C16:E16)</f>
        <v>-1746845.0900265479</v>
      </c>
      <c r="G16" s="401">
        <f>SUM('Pt 1 Summary of Data'!I$25:I$28,'Pt 1 Summary of Data'!I$30,'Pt 1 Summary of Data'!I$34:I$35)+IF('Company Information'!$C$15="No",IF(MAX('Pt 1 Summary of Data'!I$31:I$32)=0,MIN('Pt 1 Summary of Data'!I$31:I$32),MAX('Pt 1 Summary of Data'!I$31:I$32)),SUM('Pt 1 Summary of Data'!I$31:I$32))</f>
        <v>0</v>
      </c>
      <c r="H16" s="397">
        <v>1269199.3899999999</v>
      </c>
      <c r="I16" s="398">
        <v>989933.25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587582.70681157208</v>
      </c>
      <c r="K16" s="400">
        <f>SUM(H16:J16)</f>
        <v>2846715.3468115716</v>
      </c>
      <c r="L16" s="401">
        <f>SUM('Pt 1 Summary of Data'!O$25:O$28,'Pt 1 Summary of Data'!O$30,'Pt 1 Summary of Data'!O$34:O$35)+IF('Company Information'!$C$15="No",IF(MAX('Pt 1 Summary of Data'!O$31:O$32)=0,MIN('Pt 1 Summary of Data'!O$31:O$32),MAX('Pt 1 Summary of Data'!O$31:O$32)),SUM('Pt 1 Summary of Data'!O$31:O$32))</f>
        <v>0</v>
      </c>
      <c r="M16" s="397">
        <v>38977.43</v>
      </c>
      <c r="N16" s="398">
        <v>-72353.320000000007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86800.949758355069</v>
      </c>
      <c r="P16" s="400">
        <f>SUM(M16:O16)</f>
        <v>53425.059758355063</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5747932.1000000006</v>
      </c>
      <c r="D17" s="400">
        <f>D$15-D$16+IF(AND(OR('Company Information'!$C$12="District of Columbia",'Company Information'!$C$12="Massachusetts",'Company Information'!$C$12="Vermont"),SUM($C$6:$F$11,$C$15:$F$16,$C$38:$D$38)&lt;&gt;0),I$15-I$16,0)</f>
        <v>7958437.1300000008</v>
      </c>
      <c r="E17" s="400">
        <f>E$15-E$16+IF(AND(OR('Company Information'!$C$12="District of Columbia",'Company Information'!$C$12="Massachusetts",'Company Information'!$C$12="Vermont"),SUM($C$6:$F$11,$C$15:$F$16,$C$38:$D$38)&lt;&gt;0),J$15-J$16,0)</f>
        <v>7079812.2100265473</v>
      </c>
      <c r="F17" s="400">
        <f>F$15-F$16+IF(AND(OR('Company Information'!$C$12="District of Columbia",'Company Information'!$C$12="Massachusetts",'Company Information'!$C$12="Vermont"),SUM($C$6:$F$11,$C$15:$F$16,$C$38:$D$38)&lt;&gt;0),K$15-K$16,0)</f>
        <v>20786181.440026548</v>
      </c>
      <c r="G17" s="450"/>
      <c r="H17" s="399">
        <f>H$15-H$16+IF(AND(OR('Company Information'!$C$12="District of Columbia",'Company Information'!$C$12="Massachusetts",'Company Information'!$C$12="Vermont"),SUM($H$6:$K$11,$H$15:$K$16,$H$38:$I$38)&lt;&gt;0),C$15-C$16,0)</f>
        <v>16323602.41</v>
      </c>
      <c r="I17" s="400">
        <f>I$15-I$16+IF(AND(OR('Company Information'!$C$12="District of Columbia",'Company Information'!$C$12="Massachusetts",'Company Information'!$C$12="Vermont"),SUM($H$6:$K$11,$H$15:$K$16,$H$38:$I$38)&lt;&gt;0),D$15-D$16,0)</f>
        <v>18075033.870000001</v>
      </c>
      <c r="J17" s="400">
        <f>J$15-J$16+IF(AND(OR('Company Information'!$C$12="District of Columbia",'Company Information'!$C$12="Massachusetts",'Company Information'!$C$12="Vermont"),SUM($H$6:$K$11,$H$15:$K$16,$H$38:$I$38)&lt;&gt;0),E$15-E$16,0)</f>
        <v>12656096.314523229</v>
      </c>
      <c r="K17" s="400">
        <f>K$15-K$16+IF(AND(OR('Company Information'!$C$12="District of Columbia",'Company Information'!$C$12="Massachusetts",'Company Information'!$C$12="Vermont"),SUM($H$6:$K$11,$H$15:$K$16,$H$38:$I$38)&lt;&gt;0),F$15-F$16,0)</f>
        <v>47054732.594523229</v>
      </c>
      <c r="L17" s="450"/>
      <c r="M17" s="399">
        <f>M$15-M$16</f>
        <v>2359831.0299999998</v>
      </c>
      <c r="N17" s="400">
        <f>N$15-N$16</f>
        <v>2902419.55</v>
      </c>
      <c r="O17" s="400">
        <f>O$15-O$16</f>
        <v>2035992.0887707449</v>
      </c>
      <c r="P17" s="400">
        <f>P$15-P$16</f>
        <v>7298242.6687707445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2507</v>
      </c>
      <c r="D38" s="405">
        <v>2565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1438.3333333333333</v>
      </c>
      <c r="F38" s="432">
        <f>SUM(C$38:E$38)+IF(AND(OR('Company Information'!$C$12="District of Columbia",'Company Information'!$C$12="Massachusetts",'Company Information'!$C$12="Vermont"),SUM($C$6:$F$11,$C$15:$F$16,$C$38:$D$38)&lt;&gt;0,SUM(C$38:D$38)&lt;&gt;SUM(H$38:I$38)),SUM(H$38:I$38),0)</f>
        <v>6510.333333333333</v>
      </c>
      <c r="G38" s="448"/>
      <c r="H38" s="404">
        <v>4176</v>
      </c>
      <c r="I38" s="405">
        <v>4295.33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2658.4166666666665</v>
      </c>
      <c r="K38" s="432">
        <f>SUM(H$38:J$38)+IF(AND(OR('Company Information'!$C$12="District of Columbia",'Company Information'!$C$12="Massachusetts",'Company Information'!$C$12="Vermont"),SUM($H$6:$K$11,$H$15:$K$16,$H$38:$I$38)&lt;&gt;0,SUM(H$38:I$38)&lt;&gt;SUM(C$38:D$38)),SUM(C$38:D$38),0)</f>
        <v>11129.746666666666</v>
      </c>
      <c r="L38" s="448"/>
      <c r="M38" s="404">
        <v>643</v>
      </c>
      <c r="N38" s="405">
        <v>700.17</v>
      </c>
      <c r="O38" s="432">
        <f>('Pt 1 Summary of Data'!Q$59+'Pt 1 Summary of Data'!S$59-'Pt 1 Summary of Data'!T$59)/12</f>
        <v>470.08333333333331</v>
      </c>
      <c r="P38" s="432">
        <f>SUM(M$38:O$38)</f>
        <v>1813.2533333333333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3.3677266666666664E-2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2.5246835555555555E-2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6.6192764444444441E-2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8160</v>
      </c>
      <c r="G40" s="447"/>
      <c r="H40" s="443"/>
      <c r="I40" s="441"/>
      <c r="J40" s="441"/>
      <c r="K40" s="398">
        <v>1932</v>
      </c>
      <c r="L40" s="447"/>
      <c r="M40" s="443"/>
      <c r="N40" s="441"/>
      <c r="O40" s="441"/>
      <c r="P40" s="398">
        <v>2776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1.6130879999999999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1.1902751999999999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5.4324394732799992E-2</v>
      </c>
      <c r="G42" s="447"/>
      <c r="H42" s="443"/>
      <c r="I42" s="441"/>
      <c r="J42" s="441"/>
      <c r="K42" s="436">
        <f ca="1">IF(OR(K$38&lt;1000,K$38&gt;=75000),0,K$39*K$41)</f>
        <v>2.5246835555555555E-2</v>
      </c>
      <c r="L42" s="447"/>
      <c r="M42" s="443"/>
      <c r="N42" s="441"/>
      <c r="O42" s="441"/>
      <c r="P42" s="436">
        <f ca="1">IF(OR(P$38&lt;1000,P$38&gt;=75000),0,P$39*P$41)</f>
        <v>7.8787605937663985E-2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0.9392245835680626</v>
      </c>
      <c r="D45" s="436">
        <f>IF(OR(D$38&lt;1000,D$17&lt;=0),"",D$12/D$17)</f>
        <v>0.96559617954788046</v>
      </c>
      <c r="E45" s="436">
        <f>IF(OR(E$38&lt;1000,E$17&lt;=0),"",E$12/E$17)</f>
        <v>1.4541283695237159</v>
      </c>
      <c r="F45" s="436">
        <f>IF(OR(F$38&lt;1000,F$17&lt;=0),"",F$12/F$17)</f>
        <v>1.1246987078339552</v>
      </c>
      <c r="G45" s="447"/>
      <c r="H45" s="438">
        <f>IF(OR(H$38&lt;1000,H$17&lt;=0),"",H$12/H$17)</f>
        <v>0.75230939600735092</v>
      </c>
      <c r="I45" s="436">
        <f>IF(OR(I$38&lt;1000,I$17&lt;=0),"",I$12/I$17)</f>
        <v>0.91346023757752304</v>
      </c>
      <c r="J45" s="436">
        <f>IF(OR(J$38&lt;1000,J$17&lt;=0),"",J$12/J$17)</f>
        <v>0.98849689631792359</v>
      </c>
      <c r="K45" s="436">
        <f>IF(OR(K$38&lt;1000,K$17&lt;=0),"",K$12/K$17)</f>
        <v>0.8777381966050597</v>
      </c>
      <c r="L45" s="447"/>
      <c r="M45" s="438" t="str">
        <f>IF(OR(M$38&lt;1000,M$17&lt;=0),"",M$12/M$17)</f>
        <v/>
      </c>
      <c r="N45" s="436" t="str">
        <f>IF(OR(N$38&lt;1000,N$17&lt;=0),"",N$12/N$17)</f>
        <v/>
      </c>
      <c r="O45" s="436" t="str">
        <f>IF(OR(O$38&lt;1000,O$17&lt;=0),"",O$12/O$17)</f>
        <v/>
      </c>
      <c r="P45" s="436">
        <f>IF(OR(P$38&lt;1000,P$17&lt;=0),"",P$12/P$17)</f>
        <v>0.83378655400568547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5.4324394732799992E-2</v>
      </c>
      <c r="G47" s="447"/>
      <c r="H47" s="443"/>
      <c r="I47" s="441"/>
      <c r="J47" s="441"/>
      <c r="K47" s="436">
        <f ca="1">IF(K$45="","",K$42)</f>
        <v>2.5246835555555555E-2</v>
      </c>
      <c r="L47" s="447"/>
      <c r="M47" s="443"/>
      <c r="N47" s="441"/>
      <c r="O47" s="441"/>
      <c r="P47" s="436">
        <f ca="1">IF(P$45="","",P$42)</f>
        <v>7.8787605937663985E-2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1.179</v>
      </c>
      <c r="G48" s="447"/>
      <c r="H48" s="443"/>
      <c r="I48" s="441"/>
      <c r="J48" s="441"/>
      <c r="K48" s="436">
        <f ca="1">IF(K$45="","",ROUND(K$45+MAX(0,K$47),3))</f>
        <v>0.90300000000000002</v>
      </c>
      <c r="L48" s="447"/>
      <c r="M48" s="443"/>
      <c r="N48" s="441"/>
      <c r="O48" s="441"/>
      <c r="P48" s="436">
        <f ca="1">IF(P$45="","",ROUND(P$45+MAX(0,P$47),3))</f>
        <v>0.91300000000000003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1.179</v>
      </c>
      <c r="G51" s="447"/>
      <c r="H51" s="444"/>
      <c r="I51" s="442"/>
      <c r="J51" s="442"/>
      <c r="K51" s="436">
        <f ca="1">K$48</f>
        <v>0.90300000000000002</v>
      </c>
      <c r="L51" s="447"/>
      <c r="M51" s="444"/>
      <c r="N51" s="442"/>
      <c r="O51" s="442"/>
      <c r="P51" s="436">
        <f ca="1">P$48</f>
        <v>0.91300000000000003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7079812.2100265473</v>
      </c>
      <c r="G52" s="447"/>
      <c r="H52" s="443"/>
      <c r="I52" s="441"/>
      <c r="J52" s="441"/>
      <c r="K52" s="400">
        <f>IF(K$38&lt;1000,"",MAX(0,J$15-J$16))</f>
        <v>12656096.314523229</v>
      </c>
      <c r="L52" s="447"/>
      <c r="M52" s="443"/>
      <c r="N52" s="441"/>
      <c r="O52" s="441"/>
      <c r="P52" s="400">
        <f>IF(P$38&lt;1000,"",MAX(0,O$15-O$16))</f>
        <v>2035992.0887707449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59828.152459999998</v>
      </c>
      <c r="D56" s="441"/>
      <c r="E56" s="441"/>
      <c r="F56" s="441"/>
      <c r="G56" s="447"/>
      <c r="H56" s="397"/>
      <c r="I56" s="441"/>
      <c r="J56" s="441"/>
      <c r="K56" s="441"/>
      <c r="L56" s="447"/>
      <c r="M56" s="397">
        <v>322.54635889999997</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-722.67826249999996</v>
      </c>
      <c r="D57" s="441"/>
      <c r="E57" s="441"/>
      <c r="F57" s="441"/>
      <c r="G57" s="447"/>
      <c r="H57" s="397"/>
      <c r="I57" s="441"/>
      <c r="J57" s="441"/>
      <c r="K57" s="441"/>
      <c r="L57" s="447"/>
      <c r="M57" s="397">
        <v>5.240746186</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792</v>
      </c>
      <c r="D4" s="104">
        <f>'Pt 1 Summary of Data'!$K$56+'Pt 1 Summary of Data'!$M$56-'Pt 1 Summary of Data'!$N$56</f>
        <v>1031</v>
      </c>
      <c r="E4" s="104">
        <f>'Pt 1 Summary of Data'!$Q$56+'Pt 1 Summary of Data'!$S$56-'Pt 1 Summary of Data'!$T$56</f>
        <v>202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