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AB39" i="10" s="1"/>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T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F16" i="10"/>
  <c r="E16" i="10"/>
  <c r="AB15" i="10"/>
  <c r="AA15" i="10"/>
  <c r="X15" i="10"/>
  <c r="W15" i="10"/>
  <c r="V13" i="10" s="1"/>
  <c r="T15" i="10"/>
  <c r="S15" i="10"/>
  <c r="P15" i="10"/>
  <c r="O15" i="10"/>
  <c r="L15" i="10"/>
  <c r="AB13" i="10"/>
  <c r="AA13" i="10"/>
  <c r="Z13" i="10"/>
  <c r="Y13" i="10"/>
  <c r="W13" i="10"/>
  <c r="R13" i="10"/>
  <c r="Q13" i="10"/>
  <c r="P12"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S55" i="18"/>
  <c r="AC55" i="18"/>
  <c r="AB55" i="18"/>
  <c r="AB22" i="4" s="1"/>
  <c r="AA55" i="18"/>
  <c r="AA22" i="4" s="1"/>
  <c r="Z55" i="18"/>
  <c r="Z22" i="4" s="1"/>
  <c r="Y55" i="18"/>
  <c r="X55" i="18"/>
  <c r="W55" i="18"/>
  <c r="W22" i="4" s="1"/>
  <c r="V55" i="18"/>
  <c r="V22" i="4" s="1"/>
  <c r="U55" i="18"/>
  <c r="U22" i="4" s="1"/>
  <c r="T55" i="18"/>
  <c r="T22" i="4" s="1"/>
  <c r="S55" i="18"/>
  <c r="S22" i="4" s="1"/>
  <c r="R55" i="18"/>
  <c r="R22" i="4" s="1"/>
  <c r="Q55" i="18"/>
  <c r="Q22" i="4" s="1"/>
  <c r="P55" i="18"/>
  <c r="P22" i="4" s="1"/>
  <c r="O55" i="18"/>
  <c r="O22" i="4" s="1"/>
  <c r="N55" i="18"/>
  <c r="M55" i="18"/>
  <c r="M22" i="4" s="1"/>
  <c r="L55" i="18"/>
  <c r="L22" i="4" s="1"/>
  <c r="K55" i="18"/>
  <c r="K22" i="4" s="1"/>
  <c r="J55" i="18"/>
  <c r="J22" i="4" s="1"/>
  <c r="I55" i="18"/>
  <c r="I22" i="4" s="1"/>
  <c r="H55" i="18"/>
  <c r="G55" i="18"/>
  <c r="F55" i="18"/>
  <c r="E55" i="18"/>
  <c r="D55" i="18"/>
  <c r="D22" i="4" s="1"/>
  <c r="AU54" i="18"/>
  <c r="AT54" i="18"/>
  <c r="AS54" i="18"/>
  <c r="AC54" i="18"/>
  <c r="AB54" i="18"/>
  <c r="AA54" i="18"/>
  <c r="AA12" i="4" s="1"/>
  <c r="Z54" i="18"/>
  <c r="Y54" i="18"/>
  <c r="Y12" i="4" s="1"/>
  <c r="X54" i="18"/>
  <c r="W54" i="18"/>
  <c r="V54" i="18"/>
  <c r="V12" i="4" s="1"/>
  <c r="U54" i="18"/>
  <c r="U12" i="4" s="1"/>
  <c r="T54" i="18"/>
  <c r="T12" i="4" s="1"/>
  <c r="S54" i="18"/>
  <c r="R54" i="18"/>
  <c r="Q54" i="18"/>
  <c r="Q12" i="4" s="1"/>
  <c r="P54" i="18"/>
  <c r="P12" i="4" s="1"/>
  <c r="O54" i="18"/>
  <c r="N54" i="18"/>
  <c r="M54" i="18"/>
  <c r="L54" i="18"/>
  <c r="K54" i="18"/>
  <c r="J54" i="18"/>
  <c r="I54" i="18"/>
  <c r="H54" i="18"/>
  <c r="G54" i="18"/>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AS22" i="4"/>
  <c r="AC22" i="4"/>
  <c r="Y22" i="4"/>
  <c r="X22" i="4"/>
  <c r="N22" i="4"/>
  <c r="H22" i="4"/>
  <c r="G22" i="4"/>
  <c r="F22" i="4"/>
  <c r="E22" i="4"/>
  <c r="AU12" i="4"/>
  <c r="AT12" i="4"/>
  <c r="AS12" i="4"/>
  <c r="AC12" i="4"/>
  <c r="AB12" i="4"/>
  <c r="Z12" i="4"/>
  <c r="X12" i="4"/>
  <c r="W12" i="4"/>
  <c r="S12" i="4"/>
  <c r="R12" i="4"/>
  <c r="O12" i="4"/>
  <c r="N12" i="4"/>
  <c r="M12" i="4"/>
  <c r="L12" i="4"/>
  <c r="K12" i="4"/>
  <c r="J12" i="4"/>
  <c r="I12" i="4"/>
  <c r="H12" i="4"/>
  <c r="G12" i="4"/>
  <c r="F12" i="4"/>
  <c r="E12" i="4"/>
  <c r="D12" i="4"/>
  <c r="AU5" i="4"/>
  <c r="AT5" i="4"/>
  <c r="AS5" i="4"/>
  <c r="AC5" i="4"/>
  <c r="AB5" i="4"/>
  <c r="AA5" i="4"/>
  <c r="Z5" i="4"/>
  <c r="Y5" i="4"/>
  <c r="X5" i="4"/>
  <c r="W5" i="4"/>
  <c r="V5" i="4"/>
  <c r="U5" i="4"/>
  <c r="T5" i="4"/>
  <c r="S5" i="4"/>
  <c r="R5" i="4"/>
  <c r="Q5" i="4"/>
  <c r="P5" i="4"/>
  <c r="O5" i="4"/>
  <c r="N5" i="4"/>
  <c r="M5" i="4"/>
  <c r="L5" i="4"/>
  <c r="K5" i="4"/>
  <c r="J5" i="4"/>
  <c r="I5" i="4"/>
  <c r="G7" i="10" s="1"/>
  <c r="H5" i="4"/>
  <c r="G5" i="4"/>
  <c r="F5" i="4"/>
  <c r="E5" i="4"/>
  <c r="D5" i="4"/>
  <c r="J15" i="10" l="1"/>
  <c r="K15" i="10" s="1"/>
  <c r="E15" i="10"/>
  <c r="F15" i="10"/>
  <c r="J7" i="10"/>
  <c r="E7" i="10"/>
  <c r="G15" i="10"/>
  <c r="G27" i="10" s="1"/>
  <c r="P47" i="10"/>
  <c r="G24" i="10"/>
  <c r="G32" i="10"/>
  <c r="G20" i="10"/>
  <c r="G19" i="10"/>
  <c r="G23" i="10"/>
  <c r="L30" i="10"/>
  <c r="L31" i="10" s="1"/>
  <c r="L29" i="10" s="1"/>
  <c r="L33" i="10" s="1"/>
  <c r="L34" i="10" s="1"/>
  <c r="L21" i="10"/>
  <c r="L26" i="10" s="1"/>
  <c r="L25" i="10" s="1"/>
  <c r="L28" i="10" s="1"/>
  <c r="X39" i="10"/>
  <c r="P39" i="10"/>
  <c r="X13" i="10"/>
  <c r="T13" i="10"/>
  <c r="U13" i="10"/>
  <c r="S13" i="10"/>
  <c r="K7" i="10" l="1"/>
  <c r="I17" i="10" s="1"/>
  <c r="I45" i="10" s="1"/>
  <c r="J38" i="10"/>
  <c r="G22" i="10"/>
  <c r="F7" i="10"/>
  <c r="D12" i="10" s="1"/>
  <c r="D17" i="10"/>
  <c r="E38" i="10"/>
  <c r="C12" i="10"/>
  <c r="E12" i="10"/>
  <c r="J12" i="10"/>
  <c r="K17" i="10"/>
  <c r="F17" i="10"/>
  <c r="E17" i="10" l="1"/>
  <c r="C17" i="10"/>
  <c r="F12" i="10" s="1"/>
  <c r="F45" i="10" s="1"/>
  <c r="I12" i="10"/>
  <c r="E45" i="10"/>
  <c r="F38" i="10"/>
  <c r="H17" i="10"/>
  <c r="H45" i="10" s="1"/>
  <c r="G30" i="10"/>
  <c r="G31" i="10" s="1"/>
  <c r="G29" i="10" s="1"/>
  <c r="G33" i="10" s="1"/>
  <c r="G34" i="10" s="1"/>
  <c r="G21" i="10"/>
  <c r="G26" i="10" s="1"/>
  <c r="G25" i="10" s="1"/>
  <c r="G28" i="10" s="1"/>
  <c r="K38" i="10"/>
  <c r="J17" i="10"/>
  <c r="J45" i="10" s="1"/>
  <c r="C45" i="10"/>
  <c r="H12" i="10"/>
  <c r="K12" i="10" s="1"/>
  <c r="D45" i="10"/>
  <c r="K39" i="10" l="1"/>
  <c r="K42" i="10"/>
  <c r="K53" i="10"/>
  <c r="D11" i="16" s="1"/>
  <c r="K45" i="10"/>
  <c r="K52" i="10"/>
  <c r="F52" i="10"/>
  <c r="F39" i="10"/>
  <c r="F42" i="10" s="1"/>
  <c r="F47" i="10" s="1"/>
  <c r="F48" i="10" s="1"/>
  <c r="F51" i="10" s="1"/>
  <c r="F53" i="10" s="1"/>
  <c r="C11" i="16" s="1"/>
  <c r="K47" i="10" l="1"/>
  <c r="K48" i="10"/>
  <c r="K51" i="10" s="1"/>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<sst xmlns="http://schemas.openxmlformats.org/spreadsheetml/2006/main" count="568" uniqueCount="507">
  <si>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</si>
  <si>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</si>
  <si>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</si>
  <si>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</si>
  <si>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</si>
  <si>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</si>
  <si>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</si>
  <si>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</si>
  <si>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</si>
  <si>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</si>
  <si>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</si>
  <si>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</si>
  <si>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</si>
  <si>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</si>
  <si>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</si>
  <si>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</si>
  <si>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</si>
  <si>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</si>
  <si>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</si>
  <si>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</si>
  <si>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</si>
  <si>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</si>
  <si>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</si>
  <si>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</si>
  <si>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</si>
  <si>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</si>
  <si>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</si>
  <si>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</si>
  <si>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</si>
  <si>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</si>
  <si>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</si>
  <si>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</si>
  <si>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</si>
  <si>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</si>
  <si>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</si>
  <si>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</si>
  <si>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</si>
  <si>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</si>
  <si>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</si>
  <si>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</si>
  <si>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</si>
  <si>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</si>
  <si>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</si>
  <si>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</si>
  <si>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</si>
  <si>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</si>
  <si>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</si>
  <si>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</si>
  <si>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</si>
  <si>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</si>
  <si>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</si>
  <si>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</si>
  <si>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</si>
  <si>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</si>
  <si>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</si>
  <si>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</si>
  <si>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</si>
  <si>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</si>
  <si>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</si>
  <si>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</si>
  <si>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</si>
  <si>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</si>
  <si>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</si>
  <si>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</si>
  <si>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</si>
  <si>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</si>
  <si>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</si>
  <si>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</si>
  <si>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</si>
  <si>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</si>
  <si>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</si>
  <si>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</si>
  <si>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</si>
  <si>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</si>
  <si>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</si>
  <si>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</si>
  <si>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</si>
  <si>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</si>
  <si>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</si>
  <si>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</si>
  <si>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</si>
  <si>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</si>
  <si>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</si>
  <si>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</si>
  <si>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</si>
  <si>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</si>
  <si>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</si>
  <si>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</si>
  <si>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</si>
  <si>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</si>
  <si>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</si>
  <si>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</si>
  <si>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</si>
  <si>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</si>
  <si>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</si>
  <si>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</si>
  <si>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</si>
  <si>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</si>
  <si>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</si>
  <si>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</si>
  <si>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</si>
  <si>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</si>
  <si>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</si>
  <si>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</si>
  <si>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</si>
  <si>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</si>
  <si>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</si>
  <si>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</si>
  <si>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</si>
  <si>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</si>
  <si>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</si>
  <si>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</si>
  <si>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</si>
  <si>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</si>
  <si>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</si>
  <si>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</si>
  <si>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</si>
  <si>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</si>
  <si>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</si>
  <si>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</si>
  <si>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</si>
  <si>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</si>
  <si>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</si>
  <si>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</si>
  <si>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</si>
  <si>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</si>
  <si>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</si>
  <si>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</si>
  <si>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</si>
  <si>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</si>
  <si>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</si>
  <si>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</si>
  <si>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</si>
  <si>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</si>
  <si>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</si>
  <si>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</si>
  <si>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</si>
  <si>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</si>
  <si>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</si>
  <si>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</si>
  <si>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</si>
  <si>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</si>
  <si>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</si>
  <si>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</si>
  <si>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</si>
  <si>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</si>
  <si>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</si>
  <si>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</si>
  <si>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</si>
  <si>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</si>
  <si>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</si>
  <si>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</si>
  <si>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</si>
  <si>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</si>
  <si>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</si>
  <si>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</si>
  <si>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</si>
  <si>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</si>
  <si>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</si>
  <si>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</si>
  <si>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</si>
  <si>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</si>
  <si>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</si>
  <si>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</si>
  <si>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</si>
  <si>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</si>
  <si>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</si>
  <si>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</si>
  <si>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</si>
  <si>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</si>
  <si>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</si>
  <si>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</si>
  <si>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</si>
  <si>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</si>
  <si>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</si>
  <si>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</si>
  <si>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</si>
  <si>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</si>
  <si>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</si>
  <si>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</si>
  <si>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</si>
  <si>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</si>
  <si>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</si>
  <si>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</si>
  <si>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</si>
  <si>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</si>
  <si>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</si>
  <si>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</si>
  <si>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</si>
  <si>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</si>
  <si>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</si>
  <si>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</si>
  <si>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</si>
  <si>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</si>
  <si>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</si>
  <si>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</si>
  <si>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</si>
  <si>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</si>
  <si>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</si>
  <si>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</si>
  <si>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</si>
  <si>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</si>
  <si>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</si>
  <si>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</si>
  <si>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</si>
  <si>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</si>
  <si>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</si>
  <si>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</si>
  <si>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</si>
  <si>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</si>
  <si>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</si>
  <si>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</si>
  <si>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</si>
  <si>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</si>
  <si>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</si>
  <si>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</si>
  <si>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</si>
  <si>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</si>
  <si>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</si>
  <si>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</si>
  <si>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</si>
  <si>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</si>
  <si>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</si>
  <si>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</si>
  <si>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</si>
  <si>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</si>
  <si>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</si>
  <si>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</si>
  <si>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</si>
  <si>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</si>
  <si>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</si>
  <si>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</si>
  <si>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</si>
  <si>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</si>
  <si>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</si>
  <si>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</si>
  <si>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</si>
  <si>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</si>
  <si>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</si>
  <si>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</si>
  <si>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</si>
  <si>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</si>
  <si>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</si>
  <si>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</si>
  <si>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</si>
  <si>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</si>
  <si>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</si>
  <si>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</si>
  <si>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</si>
  <si>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</si>
  <si>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</si>
  <si>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</si>
  <si>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</si>
  <si>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</si>
  <si>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</si>
  <si>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</si>
  <si>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</si>
  <si>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</si>
  <si>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</si>
  <si>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</si>
  <si>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</si>
  <si>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</si>
  <si>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</si>
  <si>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</si>
  <si>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</si>
  <si>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</si>
  <si>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</si>
  <si>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</si>
  <si>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</si>
  <si>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</si>
  <si>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</si>
  <si>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</si>
  <si>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</si>
  <si>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</si>
  <si>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</si>
  <si>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</si>
  <si>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</si>
  <si>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</si>
  <si>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</si>
  <si>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</si>
  <si>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</si>
  <si>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</si>
  <si>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</si>
  <si>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</si>
  <si>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</si>
  <si>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</si>
  <si>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</si>
  <si>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</si>
  <si>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</si>
  <si>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</si>
  <si>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</si>
  <si>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</si>
  <si>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</si>
  <si>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</si>
  <si>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</si>
  <si>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</si>
  <si>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</si>
  <si>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</si>
  <si>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</si>
  <si>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</si>
  <si>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</si>
  <si>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</si>
  <si>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</si>
  <si>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</si>
  <si>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</si>
  <si>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</si>
  <si>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</si>
  <si>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</si>
  <si>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</si>
  <si>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</si>
  <si>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</si>
  <si>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</si>
  <si>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</si>
  <si>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</si>
  <si>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</si>
  <si>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</si>
  <si>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</si>
  <si>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</si>
  <si>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</si>
  <si>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</si>
  <si>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</si>
  <si>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</si>
  <si>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</si>
  <si>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</si>
  <si>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</si>
  <si>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</si>
  <si>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</si>
  <si>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</si>
  <si>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</si>
  <si>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</si>
  <si>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</si>
  <si>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</si>
  <si>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</si>
  <si>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</si>
  <si>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</si>
  <si>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</si>
  <si>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</si>
  <si>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</si>
  <si>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</si>
  <si>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</si>
  <si>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</si>
  <si>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</si>
  <si>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</si>
  <si>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</si>
  <si>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</si>
  <si>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</si>
  <si>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</si>
  <si>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</si>
  <si>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</si>
  <si>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</si>
  <si>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</si>
  <si>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</si>
  <si>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</si>
  <si>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</si>
  <si>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</si>
  <si>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</si>
  <si>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</si>
  <si>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</si>
  <si>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</si>
  <si>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</si>
  <si>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</si>
  <si>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</si>
  <si>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</si>
  <si>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</si>
  <si>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</si>
  <si>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</si>
  <si>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</si>
  <si>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</si>
  <si>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</si>
  <si>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</si>
  <si>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</si>
  <si>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</si>
  <si>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</si>
  <si>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</si>
  <si>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</si>
  <si>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</si>
  <si>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</si>
  <si>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</si>
  <si>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</si>
  <si>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</si>
  <si>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</si>
  <si>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</si>
  <si>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</si>
  <si>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</si>
  <si>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</si>
  <si>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</si>
  <si>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</si>
  <si>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</si>
  <si>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</si>
  <si>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</si>
  <si>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</si>
  <si>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</si>
  <si>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</si>
  <si>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</si>
  <si>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</si>
  <si>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</si>
  <si>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</si>
  <si>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</si>
  <si>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</si>
  <si>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</si>
  <si>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</si>
  <si>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</si>
  <si>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</si>
  <si>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</si>
  <si>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</si>
  <si>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</si>
  <si>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</si>
  <si>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</si>
  <si>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</si>
  <si>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</si>
  <si>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</si>
  <si>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</si>
  <si>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</si>
  <si>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</si>
  <si>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</si>
  <si>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</si>
  <si>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</si>
  <si>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</si>
  <si>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</si>
  <si>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</si>
  <si>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</si>
  <si>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</si>
  <si>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</si>
  <si>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</si>
  <si>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</si>
  <si>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</si>
  <si>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</si>
  <si>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</si>
  <si>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</si>
  <si>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</si>
  <si>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</si>
  <si>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</si>
  <si>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</si>
  <si>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</si>
  <si>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</si>
  <si>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</si>
  <si>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</si>
  <si>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</si>
  <si>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</si>
  <si>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</si>
  <si>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</si>
  <si>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</si>
  <si>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</si>
  <si>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</si>
  <si>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</si>
  <si>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</si>
  <si>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</si>
  <si>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</si>
  <si>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</si>
  <si>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</si>
  <si>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</si>
  <si>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</si>
  <si>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</si>
  <si>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</si>
  <si>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</si>
  <si>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</si>
  <si>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</si>
  <si>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</si>
  <si>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</si>
  <si>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</si>
  <si>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</si>
  <si>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</si>
  <si>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</si>
  <si>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</si>
  <si>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</si>
  <si>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</si>
  <si>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</si>
  <si>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</si>
  <si>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</si>
  <si>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</si>
  <si>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</si>
  <si>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</si>
  <si>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</si>
  <si>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</si>
  <si>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</si>
  <si>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</si>
  <si>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</si>
  <si>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</si>
  <si>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</si>
  <si>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</si>
  <si>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</si>
  <si>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</si>
  <si>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</si>
  <si>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</si>
  <si>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</si>
  <si>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</si>
  <si>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</si>
  <si>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</si>
  <si>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</si>
  <si>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</si>
  <si>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</si>
  <si>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</si>
  <si>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</si>
  <si>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</si>
  <si>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</si>
  <si>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</si>
  <si>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Company</t>
  </si>
  <si>
    <t>HUMANA GRP</t>
  </si>
  <si>
    <t>Humana</t>
  </si>
  <si>
    <t>119</t>
  </si>
  <si>
    <t>2015</t>
  </si>
  <si>
    <t>1100 Employers Boulevard DePere, WI 54115</t>
  </si>
  <si>
    <t>391263473</t>
  </si>
  <si>
    <t>073288</t>
  </si>
  <si>
    <t>73288</t>
  </si>
  <si>
    <t>32237</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</si>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</sst>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168</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6165516</v>
      </c>
      <c r="E5" s="213">
        <f>SUM('Pt 2 Premium and Claims'!E$5,'Pt 2 Premium and Claims'!E$6,-'Pt 2 Premium and Claims'!E$7,-'Pt 2 Premium and Claims'!E$13,'Pt 2 Premium and Claims'!E$14:'Pt 2 Premium and Claims'!E$17)</f>
        <v>6572909.5999999996</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-12853</v>
      </c>
      <c r="K5" s="213">
        <f>SUM('Pt 2 Premium and Claims'!K$5,'Pt 2 Premium and Claims'!K$6,-'Pt 2 Premium and Claims'!K$7,-'Pt 2 Premium and Claims'!K$13,'Pt 2 Premium and Claims'!K$14,'Pt 2 Premium and Claims'!K$16:'Pt 2 Premium and Claims'!K$17)</f>
        <v>3810.5</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8912160</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-184</v>
      </c>
      <c r="E7" s="217">
        <v>-183.99</v>
      </c>
      <c r="F7" s="217"/>
      <c r="G7" s="217"/>
      <c r="H7" s="217"/>
      <c r="I7" s="216"/>
      <c r="J7" s="216">
        <v>0</v>
      </c>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-37881</v>
      </c>
      <c r="E8" s="268"/>
      <c r="F8" s="269"/>
      <c r="G8" s="269"/>
      <c r="H8" s="269"/>
      <c r="I8" s="272"/>
      <c r="J8" s="216">
        <v>-8</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-410604</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4970930</v>
      </c>
      <c r="E12" s="213">
        <f>'Pt 2 Premium and Claims'!E$54</f>
        <v>5108896.3385000015</v>
      </c>
      <c r="F12" s="213">
        <f>'Pt 2 Premium and Claims'!F$54</f>
        <v>0</v>
      </c>
      <c r="G12" s="213">
        <f>'Pt 2 Premium and Claims'!G$54</f>
        <v>0</v>
      </c>
      <c r="H12" s="213">
        <f>'Pt 2 Premium and Claims'!H$54</f>
        <v>0</v>
      </c>
      <c r="I12" s="212">
        <f>'Pt 2 Premium and Claims'!I$54</f>
        <v>0</v>
      </c>
      <c r="J12" s="212">
        <f>'Pt 2 Premium and Claims'!J$54</f>
        <v>-311</v>
      </c>
      <c r="K12" s="213">
        <f>'Pt 2 Premium and Claims'!K$54</f>
        <v>1796.5999999999997</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6472571</v>
      </c>
      <c r="AU12" s="214">
        <f>'Pt 2 Premium and Claims'!AU$54</f>
        <v>0</v>
      </c>
      <c r="AV12" s="291"/>
      <c r="AW12" s="296"/>
    </row>
    <row r="13" spans="1:49" ht="25.5" x14ac:dyDescent="0.2">
      <c r="B13" s="239" t="s">
        <v>230</v>
      </c>
      <c r="C13" s="203" t="s">
        <v>37</v>
      </c>
      <c r="D13" s="216">
        <v>731404</v>
      </c>
      <c r="E13" s="217">
        <v>728801.3</v>
      </c>
      <c r="F13" s="217"/>
      <c r="G13" s="268"/>
      <c r="H13" s="269"/>
      <c r="I13" s="216"/>
      <c r="J13" s="216">
        <v>16497</v>
      </c>
      <c r="K13" s="217">
        <v>130.57</v>
      </c>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247958</v>
      </c>
      <c r="AU13" s="220">
        <v>0</v>
      </c>
      <c r="AV13" s="290"/>
      <c r="AW13" s="297"/>
    </row>
    <row r="14" spans="1:49" ht="25.5" x14ac:dyDescent="0.2">
      <c r="B14" s="239" t="s">
        <v>231</v>
      </c>
      <c r="C14" s="203" t="s">
        <v>6</v>
      </c>
      <c r="D14" s="216">
        <v>78765</v>
      </c>
      <c r="E14" s="217">
        <v>82086.64</v>
      </c>
      <c r="F14" s="217"/>
      <c r="G14" s="267"/>
      <c r="H14" s="270"/>
      <c r="I14" s="216"/>
      <c r="J14" s="216">
        <v>-134</v>
      </c>
      <c r="K14" s="217">
        <v>0.2</v>
      </c>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129</v>
      </c>
      <c r="AU14" s="220">
        <v>0</v>
      </c>
      <c r="AV14" s="290"/>
      <c r="AW14" s="297"/>
    </row>
    <row r="15" spans="1:49" ht="38.25" x14ac:dyDescent="0.2">
      <c r="B15" s="239" t="s">
        <v>232</v>
      </c>
      <c r="C15" s="203" t="s">
        <v>7</v>
      </c>
      <c r="D15" s="216">
        <v>128</v>
      </c>
      <c r="E15" s="217">
        <v>128.33000000000001</v>
      </c>
      <c r="F15" s="217"/>
      <c r="G15" s="267"/>
      <c r="H15" s="273"/>
      <c r="I15" s="216"/>
      <c r="J15" s="216">
        <v>0</v>
      </c>
      <c r="K15" s="217">
        <v>0.46</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192</v>
      </c>
      <c r="AU15" s="220">
        <v>0</v>
      </c>
      <c r="AV15" s="290"/>
      <c r="AW15" s="297"/>
    </row>
    <row r="16" spans="1:49" ht="25.5" x14ac:dyDescent="0.2">
      <c r="B16" s="239" t="s">
        <v>233</v>
      </c>
      <c r="C16" s="203" t="s">
        <v>61</v>
      </c>
      <c r="D16" s="216">
        <v>-193611</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-617589</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12765.44</v>
      </c>
      <c r="E22" s="222">
        <f>'Pt 2 Premium and Claims'!E$55</f>
        <v>12765.44</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-275296.65000000002</v>
      </c>
      <c r="E25" s="217">
        <v>-275296.60350555886</v>
      </c>
      <c r="F25" s="217"/>
      <c r="G25" s="217"/>
      <c r="H25" s="217"/>
      <c r="I25" s="216"/>
      <c r="J25" s="216">
        <v>-20568.13</v>
      </c>
      <c r="K25" s="217">
        <v>-20568.13</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-12673.38</v>
      </c>
      <c r="AU25" s="220"/>
      <c r="AV25" s="220"/>
      <c r="AW25" s="297"/>
    </row>
    <row r="26" spans="1:49" s="5" customFormat="1" x14ac:dyDescent="0.2">
      <c r="A26" s="35"/>
      <c r="B26" s="242" t="s">
        <v>242</v>
      </c>
      <c r="C26" s="203"/>
      <c r="D26" s="216">
        <v>6076.75</v>
      </c>
      <c r="E26" s="217">
        <v>6076.75</v>
      </c>
      <c r="F26" s="217"/>
      <c r="G26" s="217"/>
      <c r="H26" s="217"/>
      <c r="I26" s="216"/>
      <c r="J26" s="216">
        <v>40.630000000000003</v>
      </c>
      <c r="K26" s="217">
        <v>40.630000000000003</v>
      </c>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143.59</v>
      </c>
      <c r="AU26" s="220"/>
      <c r="AV26" s="220"/>
      <c r="AW26" s="297"/>
    </row>
    <row r="27" spans="1:49" s="5" customFormat="1" x14ac:dyDescent="0.2">
      <c r="B27" s="242" t="s">
        <v>243</v>
      </c>
      <c r="C27" s="203"/>
      <c r="D27" s="216">
        <v>99278.74</v>
      </c>
      <c r="E27" s="217">
        <v>99278.74</v>
      </c>
      <c r="F27" s="217"/>
      <c r="G27" s="217"/>
      <c r="H27" s="217"/>
      <c r="I27" s="216"/>
      <c r="J27" s="216">
        <v>-84.13</v>
      </c>
      <c r="K27" s="217">
        <v>-84.13</v>
      </c>
      <c r="L27" s="217"/>
      <c r="M27" s="217"/>
      <c r="N27" s="217"/>
      <c r="O27" s="216"/>
      <c r="P27" s="216">
        <v>0</v>
      </c>
      <c r="Q27" s="217">
        <v>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39319.24</v>
      </c>
      <c r="AU27" s="220"/>
      <c r="AV27" s="293"/>
      <c r="AW27" s="297"/>
    </row>
    <row r="28" spans="1:49" s="5" customFormat="1" x14ac:dyDescent="0.2">
      <c r="A28" s="35"/>
      <c r="B28" s="242" t="s">
        <v>244</v>
      </c>
      <c r="C28" s="203"/>
      <c r="D28" s="216">
        <v>24367.08</v>
      </c>
      <c r="E28" s="217">
        <v>24367.08</v>
      </c>
      <c r="F28" s="217"/>
      <c r="G28" s="217"/>
      <c r="H28" s="217"/>
      <c r="I28" s="216"/>
      <c r="J28" s="216">
        <v>2261.6999999999998</v>
      </c>
      <c r="K28" s="217">
        <v>2261.6999999999998</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23980.21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172727.72</v>
      </c>
      <c r="E30" s="217">
        <v>172727.7236382991</v>
      </c>
      <c r="F30" s="217"/>
      <c r="G30" s="217"/>
      <c r="H30" s="217"/>
      <c r="I30" s="216"/>
      <c r="J30" s="216">
        <v>-2710.55</v>
      </c>
      <c r="K30" s="217">
        <v>-2710.55</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122710.23</v>
      </c>
      <c r="AU30" s="220"/>
      <c r="AV30" s="220"/>
      <c r="AW30" s="297"/>
    </row>
    <row r="31" spans="1:49" x14ac:dyDescent="0.2">
      <c r="B31" s="242" t="s">
        <v>247</v>
      </c>
      <c r="C31" s="203"/>
      <c r="D31" s="216">
        <v>149163.6</v>
      </c>
      <c r="E31" s="217">
        <v>149163.6</v>
      </c>
      <c r="F31" s="217"/>
      <c r="G31" s="217"/>
      <c r="H31" s="217"/>
      <c r="I31" s="216"/>
      <c r="J31" s="216">
        <v>80.650000000000006</v>
      </c>
      <c r="K31" s="217">
        <v>80.650000000000006</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194421.77</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91642.53</v>
      </c>
      <c r="E34" s="217">
        <v>112203.11</v>
      </c>
      <c r="F34" s="217"/>
      <c r="G34" s="217"/>
      <c r="H34" s="217"/>
      <c r="I34" s="216"/>
      <c r="J34" s="216">
        <v>117.04</v>
      </c>
      <c r="K34" s="217">
        <v>117.04</v>
      </c>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8123.62</v>
      </c>
      <c r="E35" s="217">
        <v>8123.62</v>
      </c>
      <c r="F35" s="217"/>
      <c r="G35" s="217"/>
      <c r="H35" s="217"/>
      <c r="I35" s="216"/>
      <c r="J35" s="216">
        <v>689.35</v>
      </c>
      <c r="K35" s="217">
        <v>689.35</v>
      </c>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7479.88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61174</v>
      </c>
      <c r="E37" s="225">
        <v>61174.06</v>
      </c>
      <c r="F37" s="225"/>
      <c r="G37" s="225"/>
      <c r="H37" s="225"/>
      <c r="I37" s="224"/>
      <c r="J37" s="224">
        <v>77316</v>
      </c>
      <c r="K37" s="225">
        <v>77315.710000000006</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513</v>
      </c>
      <c r="AU37" s="226">
        <v>0</v>
      </c>
      <c r="AV37" s="226">
        <v>97928</v>
      </c>
      <c r="AW37" s="296"/>
    </row>
    <row r="38" spans="1:49" x14ac:dyDescent="0.2">
      <c r="B38" s="239" t="s">
        <v>254</v>
      </c>
      <c r="C38" s="203" t="s">
        <v>16</v>
      </c>
      <c r="D38" s="216">
        <v>50010</v>
      </c>
      <c r="E38" s="217">
        <v>50009.59</v>
      </c>
      <c r="F38" s="217"/>
      <c r="G38" s="217"/>
      <c r="H38" s="217"/>
      <c r="I38" s="216"/>
      <c r="J38" s="216">
        <v>89368</v>
      </c>
      <c r="K38" s="217">
        <v>89368.04</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1</v>
      </c>
      <c r="AU38" s="220">
        <v>0</v>
      </c>
      <c r="AV38" s="220">
        <v>113182</v>
      </c>
      <c r="AW38" s="297"/>
    </row>
    <row r="39" spans="1:49" x14ac:dyDescent="0.2">
      <c r="B39" s="242" t="s">
        <v>255</v>
      </c>
      <c r="C39" s="203" t="s">
        <v>17</v>
      </c>
      <c r="D39" s="216">
        <v>12297</v>
      </c>
      <c r="E39" s="217">
        <v>12296.97</v>
      </c>
      <c r="F39" s="217"/>
      <c r="G39" s="217"/>
      <c r="H39" s="217"/>
      <c r="I39" s="216"/>
      <c r="J39" s="216">
        <v>4242</v>
      </c>
      <c r="K39" s="217">
        <v>4242.3100000000004</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1808</v>
      </c>
      <c r="AU39" s="220">
        <v>0</v>
      </c>
      <c r="AV39" s="220">
        <v>5359</v>
      </c>
      <c r="AW39" s="297"/>
    </row>
    <row r="40" spans="1:49" x14ac:dyDescent="0.2">
      <c r="B40" s="242" t="s">
        <v>256</v>
      </c>
      <c r="C40" s="203" t="s">
        <v>38</v>
      </c>
      <c r="D40" s="216">
        <v>67224</v>
      </c>
      <c r="E40" s="217">
        <v>67223.64</v>
      </c>
      <c r="F40" s="217"/>
      <c r="G40" s="217"/>
      <c r="H40" s="217"/>
      <c r="I40" s="216"/>
      <c r="J40" s="216">
        <v>38572</v>
      </c>
      <c r="K40" s="217">
        <v>38571.89</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53027</v>
      </c>
      <c r="AU40" s="220">
        <v>0</v>
      </c>
      <c r="AV40" s="220">
        <v>48773</v>
      </c>
      <c r="AW40" s="297"/>
    </row>
    <row r="41" spans="1:49" s="5" customFormat="1" ht="25.5" x14ac:dyDescent="0.2">
      <c r="A41" s="35"/>
      <c r="B41" s="242" t="s">
        <v>257</v>
      </c>
      <c r="C41" s="203" t="s">
        <v>129</v>
      </c>
      <c r="D41" s="216">
        <v>16499</v>
      </c>
      <c r="E41" s="217">
        <v>16499.03</v>
      </c>
      <c r="F41" s="217"/>
      <c r="G41" s="217"/>
      <c r="H41" s="217"/>
      <c r="I41" s="216"/>
      <c r="J41" s="216">
        <v>37</v>
      </c>
      <c r="K41" s="217">
        <v>36.96</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16050</v>
      </c>
      <c r="AU41" s="220">
        <v>0</v>
      </c>
      <c r="AV41" s="220">
        <v>42</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88865</v>
      </c>
      <c r="E44" s="225">
        <v>88864.72</v>
      </c>
      <c r="F44" s="225"/>
      <c r="G44" s="225"/>
      <c r="H44" s="225"/>
      <c r="I44" s="224"/>
      <c r="J44" s="224">
        <v>6916</v>
      </c>
      <c r="K44" s="225">
        <v>6916.22</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112206</v>
      </c>
      <c r="AU44" s="226">
        <v>0</v>
      </c>
      <c r="AV44" s="226">
        <v>8626</v>
      </c>
      <c r="AW44" s="296"/>
    </row>
    <row r="45" spans="1:49" x14ac:dyDescent="0.2">
      <c r="B45" s="245" t="s">
        <v>261</v>
      </c>
      <c r="C45" s="203" t="s">
        <v>19</v>
      </c>
      <c r="D45" s="216">
        <v>85382</v>
      </c>
      <c r="E45" s="217">
        <v>85381.54</v>
      </c>
      <c r="F45" s="217"/>
      <c r="G45" s="217"/>
      <c r="H45" s="217"/>
      <c r="I45" s="216"/>
      <c r="J45" s="216">
        <v>-91</v>
      </c>
      <c r="K45" s="217">
        <v>-91.35</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84278</v>
      </c>
      <c r="AU45" s="220">
        <v>0</v>
      </c>
      <c r="AV45" s="220">
        <v>205</v>
      </c>
      <c r="AW45" s="297"/>
    </row>
    <row r="46" spans="1:49" x14ac:dyDescent="0.2">
      <c r="B46" s="245" t="s">
        <v>262</v>
      </c>
      <c r="C46" s="203" t="s">
        <v>20</v>
      </c>
      <c r="D46" s="216">
        <v>18519</v>
      </c>
      <c r="E46" s="217">
        <v>18519.36</v>
      </c>
      <c r="F46" s="217"/>
      <c r="G46" s="217"/>
      <c r="H46" s="217"/>
      <c r="I46" s="216"/>
      <c r="J46" s="216">
        <v>7324</v>
      </c>
      <c r="K46" s="217">
        <v>7324.34</v>
      </c>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38206</v>
      </c>
      <c r="AU46" s="220">
        <v>0</v>
      </c>
      <c r="AV46" s="220">
        <v>0</v>
      </c>
      <c r="AW46" s="297"/>
    </row>
    <row r="47" spans="1:49" x14ac:dyDescent="0.2">
      <c r="B47" s="245" t="s">
        <v>263</v>
      </c>
      <c r="C47" s="203" t="s">
        <v>21</v>
      </c>
      <c r="D47" s="216">
        <v>273864</v>
      </c>
      <c r="E47" s="217">
        <v>273863.95</v>
      </c>
      <c r="F47" s="217"/>
      <c r="G47" s="217"/>
      <c r="H47" s="217"/>
      <c r="I47" s="216"/>
      <c r="J47" s="216">
        <v>1181</v>
      </c>
      <c r="K47" s="217">
        <v>1181.27</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5390793</v>
      </c>
      <c r="AU47" s="220">
        <v>0</v>
      </c>
      <c r="AV47" s="220">
        <v>374</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-7755.87</v>
      </c>
      <c r="E49" s="217">
        <v>-7755.87</v>
      </c>
      <c r="F49" s="217"/>
      <c r="G49" s="217"/>
      <c r="H49" s="217"/>
      <c r="I49" s="216"/>
      <c r="J49" s="216">
        <v>-2586.5700000000002</v>
      </c>
      <c r="K49" s="217">
        <v>-2586.5700000000002</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666.39</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771645</v>
      </c>
      <c r="E51" s="217">
        <v>771645.24</v>
      </c>
      <c r="F51" s="217"/>
      <c r="G51" s="217"/>
      <c r="H51" s="217"/>
      <c r="I51" s="216"/>
      <c r="J51" s="216">
        <v>-143776</v>
      </c>
      <c r="K51" s="217">
        <v>-143776.25</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-3516567</v>
      </c>
      <c r="AU51" s="220">
        <v>0</v>
      </c>
      <c r="AV51" s="220">
        <v>31814</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1296</v>
      </c>
      <c r="E56" s="229">
        <v>1296</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11842</v>
      </c>
      <c r="AU56" s="230">
        <v>0</v>
      </c>
      <c r="AV56" s="230">
        <v>0</v>
      </c>
      <c r="AW56" s="288"/>
    </row>
    <row r="57" spans="2:49" x14ac:dyDescent="0.2">
      <c r="B57" s="245" t="s">
        <v>272</v>
      </c>
      <c r="C57" s="203" t="s">
        <v>25</v>
      </c>
      <c r="D57" s="231">
        <v>2152</v>
      </c>
      <c r="E57" s="232">
        <v>2152</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17395</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87</v>
      </c>
      <c r="AU58" s="233">
        <v>0</v>
      </c>
      <c r="AV58" s="233">
        <v>0</v>
      </c>
      <c r="AW58" s="289"/>
    </row>
    <row r="59" spans="2:49" x14ac:dyDescent="0.2">
      <c r="B59" s="245" t="s">
        <v>274</v>
      </c>
      <c r="C59" s="203" t="s">
        <v>27</v>
      </c>
      <c r="D59" s="231">
        <v>29014</v>
      </c>
      <c r="E59" s="232">
        <v>28992</v>
      </c>
      <c r="F59" s="232"/>
      <c r="G59" s="232"/>
      <c r="H59" s="232"/>
      <c r="I59" s="231"/>
      <c r="J59" s="231">
        <v>12</v>
      </c>
      <c r="K59" s="232">
        <v>12</v>
      </c>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177647</v>
      </c>
      <c r="AU59" s="233">
        <v>0</v>
      </c>
      <c r="AV59" s="233">
        <v>0</v>
      </c>
      <c r="AW59" s="289"/>
    </row>
    <row r="60" spans="2:49" x14ac:dyDescent="0.2">
      <c r="B60" s="245" t="s">
        <v>275</v>
      </c>
      <c r="C60" s="203"/>
      <c r="D60" s="234">
        <f t="shared" ref="D60:AC60" si="0">D$59/12</f>
        <v>2417.8333333333335</v>
      </c>
      <c r="E60" s="235">
        <f t="shared" si="0"/>
        <v>2416</v>
      </c>
      <c r="F60" s="235">
        <f t="shared" si="0"/>
        <v>0</v>
      </c>
      <c r="G60" s="235">
        <f t="shared" si="0"/>
        <v>0</v>
      </c>
      <c r="H60" s="235">
        <f t="shared" si="0"/>
        <v>0</v>
      </c>
      <c r="I60" s="234">
        <f t="shared" si="0"/>
        <v>0</v>
      </c>
      <c r="J60" s="234">
        <f t="shared" si="0"/>
        <v>1</v>
      </c>
      <c r="K60" s="235">
        <f t="shared" si="0"/>
        <v>1</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14803.916666666666</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6168214</v>
      </c>
      <c r="E5" s="326">
        <v>6801002.1799999997</v>
      </c>
      <c r="F5" s="326"/>
      <c r="G5" s="328"/>
      <c r="H5" s="328"/>
      <c r="I5" s="325"/>
      <c r="J5" s="325">
        <v>-12853</v>
      </c>
      <c r="K5" s="326">
        <v>3810.5</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8930290</v>
      </c>
      <c r="AU5" s="327">
        <v>0</v>
      </c>
      <c r="AV5" s="369"/>
      <c r="AW5" s="373"/>
    </row>
    <row r="6" spans="2:49" x14ac:dyDescent="0.2">
      <c r="B6" s="343" t="s">
        <v>278</v>
      </c>
      <c r="C6" s="331" t="s">
        <v>8</v>
      </c>
      <c r="D6" s="318">
        <v>10682</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18027</v>
      </c>
      <c r="AU6" s="321">
        <v>0</v>
      </c>
      <c r="AV6" s="368"/>
      <c r="AW6" s="374"/>
    </row>
    <row r="7" spans="2:49" x14ac:dyDescent="0.2">
      <c r="B7" s="343" t="s">
        <v>279</v>
      </c>
      <c r="C7" s="331" t="s">
        <v>9</v>
      </c>
      <c r="D7" s="318">
        <v>13380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36157</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292878.17</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-520970.75</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-391129</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5306640</v>
      </c>
      <c r="E23" s="362"/>
      <c r="F23" s="362"/>
      <c r="G23" s="362"/>
      <c r="H23" s="362"/>
      <c r="I23" s="364"/>
      <c r="J23" s="318">
        <v>21213</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6232605</v>
      </c>
      <c r="AU23" s="321">
        <v>0</v>
      </c>
      <c r="AV23" s="368"/>
      <c r="AW23" s="374"/>
    </row>
    <row r="24" spans="2:49" ht="28.5" customHeight="1" x14ac:dyDescent="0.2">
      <c r="B24" s="345" t="s">
        <v>114</v>
      </c>
      <c r="C24" s="331"/>
      <c r="D24" s="365"/>
      <c r="E24" s="319">
        <v>5418791.0800000001</v>
      </c>
      <c r="F24" s="319"/>
      <c r="G24" s="319"/>
      <c r="H24" s="319"/>
      <c r="I24" s="318"/>
      <c r="J24" s="365"/>
      <c r="K24" s="319">
        <v>712.4</v>
      </c>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765890</v>
      </c>
      <c r="E26" s="362"/>
      <c r="F26" s="362"/>
      <c r="G26" s="362"/>
      <c r="H26" s="362"/>
      <c r="I26" s="364"/>
      <c r="J26" s="318">
        <v>291</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1028955</v>
      </c>
      <c r="AU26" s="321">
        <v>0</v>
      </c>
      <c r="AV26" s="368"/>
      <c r="AW26" s="374"/>
    </row>
    <row r="27" spans="2:49" s="5" customFormat="1" ht="25.5" x14ac:dyDescent="0.2">
      <c r="B27" s="345" t="s">
        <v>85</v>
      </c>
      <c r="C27" s="331"/>
      <c r="D27" s="365"/>
      <c r="E27" s="319">
        <v>113529.71850000003</v>
      </c>
      <c r="F27" s="319"/>
      <c r="G27" s="319"/>
      <c r="H27" s="319"/>
      <c r="I27" s="318"/>
      <c r="J27" s="365"/>
      <c r="K27" s="319">
        <v>-0.97</v>
      </c>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751140</v>
      </c>
      <c r="E28" s="363"/>
      <c r="F28" s="363"/>
      <c r="G28" s="363"/>
      <c r="H28" s="363"/>
      <c r="I28" s="365"/>
      <c r="J28" s="318">
        <v>25280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781803</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1310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214386</v>
      </c>
      <c r="AU30" s="321">
        <v>0</v>
      </c>
      <c r="AV30" s="368"/>
      <c r="AW30" s="374"/>
    </row>
    <row r="31" spans="2:49" s="5" customFormat="1" ht="25.5" x14ac:dyDescent="0.2">
      <c r="B31" s="345" t="s">
        <v>84</v>
      </c>
      <c r="C31" s="331"/>
      <c r="D31" s="365"/>
      <c r="E31" s="319"/>
      <c r="F31" s="319"/>
      <c r="G31" s="319"/>
      <c r="H31" s="319"/>
      <c r="I31" s="318"/>
      <c r="J31" s="365"/>
      <c r="K31" s="319">
        <v>1085.3699999999999</v>
      </c>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225</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221541</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903021</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27</v>
      </c>
      <c r="AU34" s="321">
        <v>0</v>
      </c>
      <c r="AV34" s="368"/>
      <c r="AW34" s="374"/>
    </row>
    <row r="35" spans="2:49" s="5" customFormat="1" x14ac:dyDescent="0.2">
      <c r="B35" s="345" t="s">
        <v>91</v>
      </c>
      <c r="C35" s="331"/>
      <c r="D35" s="365"/>
      <c r="E35" s="319">
        <v>903020.77</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1244359</v>
      </c>
      <c r="E36" s="319">
        <v>1244358.5900000001</v>
      </c>
      <c r="F36" s="319"/>
      <c r="G36" s="319"/>
      <c r="H36" s="319"/>
      <c r="I36" s="318"/>
      <c r="J36" s="318">
        <v>0</v>
      </c>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16795</v>
      </c>
      <c r="E49" s="319">
        <v>82086.64</v>
      </c>
      <c r="F49" s="319"/>
      <c r="G49" s="319"/>
      <c r="H49" s="319"/>
      <c r="I49" s="318"/>
      <c r="J49" s="318">
        <v>0</v>
      </c>
      <c r="K49" s="319">
        <v>0.2</v>
      </c>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63</v>
      </c>
      <c r="AU49" s="321">
        <v>0</v>
      </c>
      <c r="AV49" s="368"/>
      <c r="AW49" s="374"/>
    </row>
    <row r="50" spans="2:49" x14ac:dyDescent="0.2">
      <c r="B50" s="343" t="s">
        <v>119</v>
      </c>
      <c r="C50" s="331" t="s">
        <v>34</v>
      </c>
      <c r="D50" s="318">
        <v>7673</v>
      </c>
      <c r="E50" s="363"/>
      <c r="F50" s="363"/>
      <c r="G50" s="363"/>
      <c r="H50" s="363"/>
      <c r="I50" s="365"/>
      <c r="J50" s="318">
        <v>2380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5</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v>0</v>
      </c>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4970930</v>
      </c>
      <c r="E54" s="323">
        <f>E24+E27+E31+E35-E36+E39+E42+E45+E46-E49+E51+E52+E53</f>
        <v>5108896.3385000015</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-311</v>
      </c>
      <c r="K54" s="323">
        <f>K24+K27+K31+K35-K36+K39+K42+K45+K46-K49+K51+K52+K53</f>
        <v>1796.5999999999997</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6472571</v>
      </c>
      <c r="AU54" s="324">
        <f>AU23+AU26-AU28+AU30-AU32+AU34-AU36+AU38+AU41-AU43+AU45+AU46-AU47-AU49+AU50+AU51+AU52+AU53</f>
        <v>0</v>
      </c>
      <c r="AV54" s="368"/>
      <c r="AW54" s="374"/>
    </row>
    <row r="55" spans="2:49" ht="25.5" x14ac:dyDescent="0.2">
      <c r="B55" s="348" t="s">
        <v>493</v>
      </c>
      <c r="C55" s="335" t="s">
        <v>28</v>
      </c>
      <c r="D55" s="322">
        <f t="shared" ref="D55:AC55" si="0">MIN(MAX(0,D56),MAX(0,D57))</f>
        <v>12765.44</v>
      </c>
      <c r="E55" s="323">
        <f t="shared" si="0"/>
        <v>12765.44</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v>12765.44</v>
      </c>
      <c r="E56" s="319">
        <v>12765.44</v>
      </c>
      <c r="F56" s="319"/>
      <c r="G56" s="319"/>
      <c r="H56" s="319"/>
      <c r="I56" s="318"/>
      <c r="J56" s="318">
        <v>5.96</v>
      </c>
      <c r="K56" s="319">
        <v>5.96</v>
      </c>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14466</v>
      </c>
      <c r="E57" s="319">
        <v>14465.87</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531</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5672058.0300000003</v>
      </c>
      <c r="D5" s="403">
        <v>5373505.2199999997</v>
      </c>
      <c r="E5" s="454"/>
      <c r="F5" s="454"/>
      <c r="G5" s="448"/>
      <c r="H5" s="402">
        <v>382068.43</v>
      </c>
      <c r="I5" s="403">
        <v>119473.46</v>
      </c>
      <c r="J5" s="454"/>
      <c r="K5" s="454"/>
      <c r="L5" s="448"/>
      <c r="M5" s="402">
        <v>420.17</v>
      </c>
      <c r="N5" s="403">
        <v>-1124.56</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5643466.3784999996</v>
      </c>
      <c r="D6" s="398">
        <v>5332582.7450000001</v>
      </c>
      <c r="E6" s="400">
        <f>SUM('Pt 1 Summary of Data'!E$12,'Pt 1 Summary of Data'!E$22)+SUM('Pt 1 Summary of Data'!G$12,'Pt 1 Summary of Data'!G$22)-SUM('Pt 1 Summary of Data'!H$12,'Pt 1 Summary of Data'!H$22)</f>
        <v>5121661.7785000019</v>
      </c>
      <c r="F6" s="400">
        <f t="shared" ref="F6:F11" si="0">SUM(C6:E6)</f>
        <v>16097710.902000003</v>
      </c>
      <c r="G6" s="401">
        <f>SUM('Pt 1 Summary of Data'!I$12,'Pt 1 Summary of Data'!I$22)</f>
        <v>0</v>
      </c>
      <c r="H6" s="397">
        <v>381951.29761567421</v>
      </c>
      <c r="I6" s="398">
        <v>132340.1735</v>
      </c>
      <c r="J6" s="400">
        <f>SUM('Pt 1 Summary of Data'!K$12,'Pt 1 Summary of Data'!K$22)+SUM('Pt 1 Summary of Data'!M$12,'Pt 1 Summary of Data'!M$22)-SUM('Pt 1 Summary of Data'!N$12,'Pt 1 Summary of Data'!N$22)</f>
        <v>1796.5999999999997</v>
      </c>
      <c r="K6" s="400">
        <f>SUM(H6:J6)</f>
        <v>516088.07111567422</v>
      </c>
      <c r="L6" s="401">
        <f>SUM('Pt 1 Summary of Data'!O$12,'Pt 1 Summary of Data'!O$22)</f>
        <v>0</v>
      </c>
      <c r="M6" s="397">
        <v>420.185</v>
      </c>
      <c r="N6" s="398">
        <v>-393.40039999999999</v>
      </c>
      <c r="O6" s="400">
        <f>SUM('Pt 1 Summary of Data'!Q$12,'Pt 1 Summary of Data'!Q$22)+SUM('Pt 1 Summary of Data'!S$12,'Pt 1 Summary of Data'!S$22)-SUM('Pt 1 Summary of Data'!T$12,'Pt 1 Summary of Data'!T$22)</f>
        <v>0</v>
      </c>
      <c r="P6" s="400">
        <f>SUM(M6:O6)</f>
        <v>26.784600000000012</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179259.83</v>
      </c>
      <c r="D7" s="398">
        <v>126134.45</v>
      </c>
      <c r="E7" s="400">
        <f>SUM('Pt 1 Summary of Data'!E$37:E$41)+SUM('Pt 1 Summary of Data'!G$37:G$41)-SUM('Pt 1 Summary of Data'!H$37:H$41)+MAX(0,MIN('Pt 1 Summary of Data'!E$42+'Pt 1 Summary of Data'!G$42-'Pt 1 Summary of Data'!H$42,0.3%*('Pt 1 Summary of Data'!E$5+'Pt 1 Summary of Data'!G$5-'Pt 1 Summary of Data'!H$5-SUM(E$9:E$11))))</f>
        <v>207203.29</v>
      </c>
      <c r="F7" s="400">
        <f t="shared" si="0"/>
        <v>512597.56999999995</v>
      </c>
      <c r="G7" s="401">
        <f>SUM('Pt 1 Summary of Data'!I$37:I$41)+MAX(0,MIN(VALUE('Pt 1 Summary of Data'!I$42),0.3%*('Pt 1 Summary of Data'!I$5-SUM(G$9:G$10))))</f>
        <v>0</v>
      </c>
      <c r="H7" s="397">
        <v>3397.29</v>
      </c>
      <c r="I7" s="398">
        <v>8613.44</v>
      </c>
      <c r="J7" s="400">
        <f>SUM('Pt 1 Summary of Data'!K$37:K$41)+SUM('Pt 1 Summary of Data'!M$37:M$41)-SUM('Pt 1 Summary of Data'!N$37:N$41)+MAX(0,MIN('Pt 1 Summary of Data'!K$42+'Pt 1 Summary of Data'!M$42-'Pt 1 Summary of Data'!N$42,0.3%*('Pt 1 Summary of Data'!K$5+'Pt 1 Summary of Data'!M$5-'Pt 1 Summary of Data'!N$5-SUM(J$10:J$11))))</f>
        <v>209534.91</v>
      </c>
      <c r="K7" s="400">
        <f>SUM(H7:J7)</f>
        <v>221545.64</v>
      </c>
      <c r="L7" s="401">
        <f>SUM('Pt 1 Summary of Data'!O$37:O$41)+MAX(0,MIN(VALUE('Pt 1 Summary of Data'!O$42),0.3%*('Pt 1 Summary of Data'!O$5-L$10)))</f>
        <v>0</v>
      </c>
      <c r="M7" s="397"/>
      <c r="N7" s="398">
        <v>0.36</v>
      </c>
      <c r="O7" s="400">
        <f>SUM('Pt 1 Summary of Data'!Q$37:Q$41)+SUM('Pt 1 Summary of Data'!S$37:S$41)-SUM('Pt 1 Summary of Data'!T$37:T$41)+MAX(0,MIN('Pt 1 Summary of Data'!Q$42+'Pt 1 Summary of Data'!S$42-'Pt 1 Summary of Data'!T$42,0.3%*('Pt 1 Summary of Data'!Q$5+'Pt 1 Summary of Data'!S$5-'Pt 1 Summary of Data'!T$5)))</f>
        <v>0</v>
      </c>
      <c r="P7" s="400">
        <f>SUM(M7:O7)</f>
        <v>0.36</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86672.41</v>
      </c>
      <c r="E9" s="400">
        <f>'Pt 2 Premium and Claims'!E$15+'Pt 2 Premium and Claims'!G$15-'Pt 2 Premium and Claims'!H$15</f>
        <v>292878.17</v>
      </c>
      <c r="F9" s="400">
        <f t="shared" si="0"/>
        <v>379550.57999999996</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-458922.56</v>
      </c>
      <c r="E10" s="400">
        <f>'Pt 2 Premium and Claims'!E$16+'Pt 2 Premium and Claims'!G$16-'Pt 2 Premium and Claims'!H$16</f>
        <v>-520970.75</v>
      </c>
      <c r="F10" s="400">
        <f t="shared" si="0"/>
        <v>-979893.31</v>
      </c>
      <c r="G10" s="401">
        <f>'Pt 2 Premium and Claims'!I$16</f>
        <v>0</v>
      </c>
      <c r="H10" s="443"/>
      <c r="I10" s="398">
        <v>-9900.4500000000007</v>
      </c>
      <c r="J10" s="400">
        <f>'Pt 2 Premium and Claims'!K$16+'Pt 2 Premium and Claims'!M$16-'Pt 2 Premium and Claims'!N$16</f>
        <v>0</v>
      </c>
      <c r="K10" s="400">
        <f>SUM(H10:J10)</f>
        <v>-9900.4500000000007</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5822726.2084999997</v>
      </c>
      <c r="D12" s="400">
        <f>SUM(D$6:D$7) - SUM(D$8:D$11)+IF(AND(OR('Company Information'!$C$12="District of Columbia",'Company Information'!$C$12="Massachusetts",'Company Information'!$C$12="Vermont"),SUM($C$6:$F$11,$C$15:$F$16,$C$38:$D$38)&lt;&gt;0),SUM(I$6:I$7) - SUM(I$10:I$11),0)</f>
        <v>5830967.3450000007</v>
      </c>
      <c r="E12" s="400">
        <f>SUM(E$6:E$7)-SUM(E$8:E$11)+IF(AND(OR('Company Information'!$C$12="District of Columbia",'Company Information'!$C$12="Massachusetts",'Company Information'!$C$12="Vermont"),SUM($C$6:$F$11,$C$15:$F$16,$C$38:$D$38)&lt;&gt;0),SUM(J$6:J$7)-SUM(J$10:J$11),0)</f>
        <v>5556957.648500002</v>
      </c>
      <c r="F12" s="400">
        <f>IFERROR(SUM(C$12:E$12)+C$17*MAX(0,E$50-C$50)+D$17*MAX(0,E$50-D$50),0)</f>
        <v>17210651.202000003</v>
      </c>
      <c r="G12" s="447"/>
      <c r="H12" s="399">
        <f>SUM(H$6:H$7)+IF(AND(OR('Company Information'!$C$12="District of Columbia",'Company Information'!$C$12="Massachusetts",'Company Information'!$C$12="Vermont"),SUM($H$6:$K$11,$H$15:$K$16,$H$38:$I$38)&lt;&gt;0),SUM(C$6:C$7),0)</f>
        <v>385348.58761567419</v>
      </c>
      <c r="I12" s="400">
        <f>SUM(I$6:I$7) - SUM(I$10:I$11)+IF(AND(OR('Company Information'!$C$12="District of Columbia",'Company Information'!$C$12="Massachusetts",'Company Information'!$C$12="Vermont"),SUM($H$6:$K$11,$H$15:$K$16,$H$38:$I$38)&lt;&gt;0),SUM(D$6:D$7) - SUM(D$8:D$11),0)</f>
        <v>150854.06350000002</v>
      </c>
      <c r="J12" s="400">
        <f>SUM(J$6:J$7)-SUM(J$10:J$11)+IF(AND(OR('Company Information'!$C$12="District of Columbia",'Company Information'!$C$12="Massachusetts",'Company Information'!$C$12="Vermont"),SUM($H$6:$K$11,$H$15:$K$16,$H$38:$I$38)&lt;&gt;0),SUM(E$6:E$7)-SUM(E$8:E$11),0)</f>
        <v>211331.51</v>
      </c>
      <c r="K12" s="400">
        <f>IFERROR(SUM(H$12:J$12)+H$17*MAX(0,J$50-H$50)+I$17*MAX(0,J$50-I$50),0)</f>
        <v>747534.16111567419</v>
      </c>
      <c r="L12" s="447"/>
      <c r="M12" s="399">
        <f>SUM(M$6:M$7)</f>
        <v>420.185</v>
      </c>
      <c r="N12" s="400">
        <f>SUM(N$6:N$7)</f>
        <v>-393.04039999999998</v>
      </c>
      <c r="O12" s="400">
        <f>SUM(O$6:O$7)</f>
        <v>0</v>
      </c>
      <c r="P12" s="400">
        <f>SUM(M$12:O$12)+M$17*MAX(0,O$50-M$50)+N$17*MAX(0,O$50-N$50)</f>
        <v>27.144600000000025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7877545.8099999996</v>
      </c>
      <c r="D15" s="403">
        <v>7508625.0199999996</v>
      </c>
      <c r="E15" s="395">
        <f>SUM('Pt 1 Summary of Data'!E$5:E$7)+SUM('Pt 1 Summary of Data'!G$5:G$7)-SUM('Pt 1 Summary of Data'!H$5:H$7)-SUM(E$9:E$11)</f>
        <v>6800818.1899999995</v>
      </c>
      <c r="F15" s="395">
        <f>SUM(C15:E15)</f>
        <v>22186989.019999996</v>
      </c>
      <c r="G15" s="396">
        <f>SUM('Pt 1 Summary of Data'!I$5:I$7)-SUM(G$9:G$10)</f>
        <v>0</v>
      </c>
      <c r="H15" s="402">
        <v>530822.1</v>
      </c>
      <c r="I15" s="403">
        <v>314084.15999999997</v>
      </c>
      <c r="J15" s="395">
        <f>SUM('Pt 1 Summary of Data'!K$5:K$7)+SUM('Pt 1 Summary of Data'!M$5:M$7)-SUM('Pt 1 Summary of Data'!N$5:N$7)-SUM(J$10:J$11)</f>
        <v>3810.5</v>
      </c>
      <c r="K15" s="395">
        <f>SUM(H15:J15)</f>
        <v>848716.76</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366068.35</v>
      </c>
      <c r="D16" s="398">
        <v>197305.76</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296644.02013274026</v>
      </c>
      <c r="F16" s="400">
        <f>SUM(C16:E16)</f>
        <v>860018.13013274025</v>
      </c>
      <c r="G16" s="401">
        <f>SUM('Pt 1 Summary of Data'!I$25:I$28,'Pt 1 Summary of Data'!I$30,'Pt 1 Summary of Data'!I$34:I$35)+IF('Company Information'!$C$15="No",IF(MAX('Pt 1 Summary of Data'!I$31:I$32)=0,MIN('Pt 1 Summary of Data'!I$31:I$32),MAX('Pt 1 Summary of Data'!I$31:I$32)),SUM('Pt 1 Summary of Data'!I$31:I$32))</f>
        <v>0</v>
      </c>
      <c r="H16" s="397">
        <v>30755</v>
      </c>
      <c r="I16" s="398">
        <v>74837.210000000006</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-20173.439999999999</v>
      </c>
      <c r="K16" s="400">
        <f>SUM(H16:J16)</f>
        <v>85418.77</v>
      </c>
      <c r="L16" s="401">
        <f>SUM('Pt 1 Summary of Data'!O$25:O$28,'Pt 1 Summary of Data'!O$30,'Pt 1 Summary of Data'!O$34:O$35)+IF('Company Information'!$C$15="No",IF(MAX('Pt 1 Summary of Data'!O$31:O$32)=0,MIN('Pt 1 Summary of Data'!O$31:O$32),MAX('Pt 1 Summary of Data'!O$31:O$32)),SUM('Pt 1 Summary of Data'!O$31:O$32))</f>
        <v>0</v>
      </c>
      <c r="M16" s="397">
        <v>623</v>
      </c>
      <c r="N16" s="398">
        <v>5.28</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628.28</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7511477.46</v>
      </c>
      <c r="D17" s="400">
        <f>D$15-D$16+IF(AND(OR('Company Information'!$C$12="District of Columbia",'Company Information'!$C$12="Massachusetts",'Company Information'!$C$12="Vermont"),SUM($C$6:$F$11,$C$15:$F$16,$C$38:$D$38)&lt;&gt;0),I$15-I$16,0)</f>
        <v>7311319.2599999998</v>
      </c>
      <c r="E17" s="400">
        <f>E$15-E$16+IF(AND(OR('Company Information'!$C$12="District of Columbia",'Company Information'!$C$12="Massachusetts",'Company Information'!$C$12="Vermont"),SUM($C$6:$F$11,$C$15:$F$16,$C$38:$D$38)&lt;&gt;0),J$15-J$16,0)</f>
        <v>6504174.1698672595</v>
      </c>
      <c r="F17" s="400">
        <f>F$15-F$16+IF(AND(OR('Company Information'!$C$12="District of Columbia",'Company Information'!$C$12="Massachusetts",'Company Information'!$C$12="Vermont"),SUM($C$6:$F$11,$C$15:$F$16,$C$38:$D$38)&lt;&gt;0),K$15-K$16,0)</f>
        <v>21326970.889867257</v>
      </c>
      <c r="G17" s="450"/>
      <c r="H17" s="399">
        <f>H$15-H$16+IF(AND(OR('Company Information'!$C$12="District of Columbia",'Company Information'!$C$12="Massachusetts",'Company Information'!$C$12="Vermont"),SUM($H$6:$K$11,$H$15:$K$16,$H$38:$I$38)&lt;&gt;0),C$15-C$16,0)</f>
        <v>500067.1</v>
      </c>
      <c r="I17" s="400">
        <f>I$15-I$16+IF(AND(OR('Company Information'!$C$12="District of Columbia",'Company Information'!$C$12="Massachusetts",'Company Information'!$C$12="Vermont"),SUM($H$6:$K$11,$H$15:$K$16,$H$38:$I$38)&lt;&gt;0),D$15-D$16,0)</f>
        <v>239246.94999999995</v>
      </c>
      <c r="J17" s="400">
        <f>J$15-J$16+IF(AND(OR('Company Information'!$C$12="District of Columbia",'Company Information'!$C$12="Massachusetts",'Company Information'!$C$12="Vermont"),SUM($H$6:$K$11,$H$15:$K$16,$H$38:$I$38)&lt;&gt;0),E$15-E$16,0)</f>
        <v>23983.94</v>
      </c>
      <c r="K17" s="400">
        <f>K$15-K$16+IF(AND(OR('Company Information'!$C$12="District of Columbia",'Company Information'!$C$12="Massachusetts",'Company Information'!$C$12="Vermont"),SUM($H$6:$K$11,$H$15:$K$16,$H$38:$I$38)&lt;&gt;0),F$15-F$16,0)</f>
        <v>763297.99</v>
      </c>
      <c r="L17" s="450"/>
      <c r="M17" s="399">
        <f>M$15-M$16</f>
        <v>-623</v>
      </c>
      <c r="N17" s="400">
        <f>N$15-N$16</f>
        <v>-5.28</v>
      </c>
      <c r="O17" s="400">
        <f>O$15-O$16</f>
        <v>0</v>
      </c>
      <c r="P17" s="400">
        <f>P$15-P$16</f>
        <v>-628.28</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3711</v>
      </c>
      <c r="D38" s="405">
        <v>3099.67</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2416</v>
      </c>
      <c r="F38" s="432">
        <f>SUM(C$38:E$38)+IF(AND(OR('Company Information'!$C$12="District of Columbia",'Company Information'!$C$12="Massachusetts",'Company Information'!$C$12="Vermont"),SUM($C$6:$F$11,$C$15:$F$16,$C$38:$D$38)&lt;&gt;0,SUM(C$38:D$38)&lt;&gt;SUM(H$38:I$38)),SUM(H$38:I$38),0)</f>
        <v>9226.67</v>
      </c>
      <c r="G38" s="448"/>
      <c r="H38" s="404">
        <v>61</v>
      </c>
      <c r="I38" s="405">
        <v>51.92</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1</v>
      </c>
      <c r="K38" s="432">
        <f>SUM(H$38:J$38)+IF(AND(OR('Company Information'!$C$12="District of Columbia",'Company Information'!$C$12="Massachusetts",'Company Information'!$C$12="Vermont"),SUM($H$6:$K$11,$H$15:$K$16,$H$38:$I$38)&lt;&gt;0,SUM(H$38:I$38)&lt;&gt;SUM(C$38:D$38)),SUM(C$38:D$38),0)</f>
        <v>113.92</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2.7701325999999998E-2</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8517</v>
      </c>
      <c r="G40" s="447"/>
      <c r="H40" s="443"/>
      <c r="I40" s="441"/>
      <c r="J40" s="441"/>
      <c r="K40" s="398">
        <v>1341</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1.6369355999999999</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 ca="1">IF(OR(F$38&lt;1000,F$38&gt;=75000),0,F$39*F$41)</f>
        <v>4.5345286696605598E-2</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f>IF(OR(C$38&lt;1000,C$17&lt;=0),"",C$12/C$17)</f>
        <v>0.77517721906337178</v>
      </c>
      <c r="D45" s="436">
        <f>IF(OR(D$38&lt;1000,D$17&lt;=0),"",D$12/D$17)</f>
        <v>0.79752601926454525</v>
      </c>
      <c r="E45" s="436">
        <f>IF(OR(E$38&lt;1000,E$17&lt;=0),"",E$12/E$17)</f>
        <v>0.85436790334497015</v>
      </c>
      <c r="F45" s="436">
        <f>IF(OR(F$38&lt;1000,F$17&lt;=0),"",F$12/F$17)</f>
        <v>0.80698995140360152</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f ca="1">IF(F$45="","",F$42)</f>
        <v>4.5345286696605598E-2</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 ca="1">IF(F$45="","",ROUND(F$45+MAX(0,F$47),3))</f>
        <v>0.85199999999999998</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 ca="1">F$48</f>
        <v>0.85199999999999998</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IF(F$38&lt;1000,"",MAX(0,E$15-E$16))</f>
        <v>6504174.1698672595</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 ca="1">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102751.367</v>
      </c>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4774.6452159999999</v>
      </c>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1296</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 ca="1">'Pt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