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U13" i="10" s="1"/>
  <c r="T15" i="10"/>
  <c r="S15" i="10"/>
  <c r="P15" i="10"/>
  <c r="O15" i="10"/>
  <c r="L15" i="10"/>
  <c r="AB13" i="10"/>
  <c r="AA13" i="10"/>
  <c r="Z13" i="10"/>
  <c r="Y13" i="10"/>
  <c r="W13" i="10"/>
  <c r="V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S54" i="18"/>
  <c r="R54" i="18"/>
  <c r="Q54" i="18"/>
  <c r="P54" i="18"/>
  <c r="O54" i="18"/>
  <c r="N54" i="18"/>
  <c r="N12" i="4" s="1"/>
  <c r="M54" i="18"/>
  <c r="M12" i="4" s="1"/>
  <c r="L54" i="18"/>
  <c r="K54" i="18"/>
  <c r="J54" i="18"/>
  <c r="J12" i="4" s="1"/>
  <c r="I54" i="18"/>
  <c r="I12" i="4" s="1"/>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I22" i="4"/>
  <c r="H22" i="4"/>
  <c r="G22" i="4"/>
  <c r="F22" i="4"/>
  <c r="E22" i="4"/>
  <c r="D22" i="4"/>
  <c r="AU12" i="4"/>
  <c r="AT12" i="4"/>
  <c r="AS12" i="4"/>
  <c r="AC12" i="4"/>
  <c r="AB12" i="4"/>
  <c r="AA12" i="4"/>
  <c r="Z12" i="4"/>
  <c r="Y12" i="4"/>
  <c r="X12" i="4"/>
  <c r="W12" i="4"/>
  <c r="V12" i="4"/>
  <c r="U12" i="4"/>
  <c r="T12" i="4"/>
  <c r="S12" i="4"/>
  <c r="R12" i="4"/>
  <c r="Q12" i="4"/>
  <c r="P12" i="4"/>
  <c r="O12" i="4"/>
  <c r="L12" i="4"/>
  <c r="K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E7" i="10" l="1"/>
  <c r="J15" i="10"/>
  <c r="K15" i="10" s="1"/>
  <c r="F15" i="10"/>
  <c r="G7" i="10"/>
  <c r="G32" i="10" s="1"/>
  <c r="L30" i="10"/>
  <c r="L31" i="10" s="1"/>
  <c r="L29" i="10" s="1"/>
  <c r="L33" i="10" s="1"/>
  <c r="L34" i="10" s="1"/>
  <c r="J7" i="10"/>
  <c r="P47" i="10"/>
  <c r="G19" i="10"/>
  <c r="G23" i="10"/>
  <c r="G27" i="10"/>
  <c r="G20" i="10"/>
  <c r="G24" i="10"/>
  <c r="P39" i="10"/>
  <c r="L21" i="10"/>
  <c r="L26" i="10" s="1"/>
  <c r="L25" i="10" s="1"/>
  <c r="L28" i="10" s="1"/>
  <c r="X13" i="10"/>
  <c r="T13" i="10"/>
  <c r="E12" i="10" l="1"/>
  <c r="F7" i="10"/>
  <c r="F17" i="10"/>
  <c r="K7" i="10"/>
  <c r="H12" i="10" s="1"/>
  <c r="G22" i="10"/>
  <c r="E17" i="10" l="1"/>
  <c r="E38" i="10"/>
  <c r="D12" i="10"/>
  <c r="C12" i="10"/>
  <c r="C17" i="10"/>
  <c r="D17" i="10"/>
  <c r="D45" i="10" s="1"/>
  <c r="J38" i="10"/>
  <c r="K38" i="10" s="1"/>
  <c r="I12" i="10"/>
  <c r="I17" i="10"/>
  <c r="I45" i="10" s="1"/>
  <c r="K17" i="10"/>
  <c r="H17" i="10"/>
  <c r="J12" i="10"/>
  <c r="J17" i="10"/>
  <c r="J45" i="10" s="1"/>
  <c r="G30" i="10"/>
  <c r="G31" i="10" s="1"/>
  <c r="G29" i="10" s="1"/>
  <c r="G33" i="10" s="1"/>
  <c r="G34" i="10" s="1"/>
  <c r="G21" i="10"/>
  <c r="G26" i="10" s="1"/>
  <c r="G25" i="10" s="1"/>
  <c r="G28" i="10" s="1"/>
  <c r="F38" i="10" l="1"/>
  <c r="E45" i="10"/>
  <c r="F12" i="10"/>
  <c r="C45" i="10"/>
  <c r="H45" i="10"/>
  <c r="K12" i="10"/>
  <c r="K45" i="10" s="1"/>
  <c r="K52" i="10"/>
  <c r="K39" i="10"/>
  <c r="K42" i="10" s="1"/>
  <c r="K47" i="10" s="1"/>
  <c r="K48" i="10" s="1"/>
  <c r="K51" i="10" s="1"/>
  <c r="K53" i="10" s="1"/>
  <c r="D11" i="16" s="1"/>
  <c r="F45" i="10" l="1"/>
  <c r="F52" i="10"/>
  <c r="F39" i="10"/>
  <c r="F42" i="10" s="1"/>
  <c r="F47" i="10" l="1"/>
  <c r="F48" i="10" s="1"/>
  <c r="F51" i="10" s="1"/>
  <c r="F53" i="10" s="1"/>
  <c r="C11" i="16" s="1"/>
</calcChain>
</file>

<file path=xl/sharedStrings.xml><?xml version="1.0" encoding="utf-8"?>
<sst xmlns="http://schemas.openxmlformats.org/spreadsheetml/2006/main" count="575" uniqueCount="514">
  <si>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</si>
  <si>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</si>
  <si>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</si>
  <si>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</si>
  <si>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</si>
  <si>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</si>
  <si>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</si>
  <si>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</si>
  <si>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</si>
  <si>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</si>
  <si>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</si>
  <si>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</si>
  <si>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</si>
  <si>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</si>
  <si>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</si>
  <si>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</si>
  <si>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</si>
  <si>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</si>
  <si>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</si>
  <si>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</si>
  <si>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</si>
  <si>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</si>
  <si>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</si>
  <si>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</si>
  <si>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</si>
  <si>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</si>
  <si>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</si>
  <si>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</si>
  <si>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</si>
  <si>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</si>
  <si>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</si>
  <si>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</si>
  <si>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</si>
  <si>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</si>
  <si>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</si>
  <si>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</si>
  <si>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</si>
  <si>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</si>
  <si>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</si>
  <si>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</si>
  <si>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</si>
  <si>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</si>
  <si>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</si>
  <si>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</si>
  <si>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</si>
  <si>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</si>
  <si>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</si>
  <si>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</si>
  <si>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</si>
  <si>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</si>
  <si>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</si>
  <si>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</si>
  <si>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</si>
  <si>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</si>
  <si>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</si>
  <si>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</si>
  <si>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</si>
  <si>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</si>
  <si>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</si>
  <si>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</si>
  <si>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</si>
  <si>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</si>
  <si>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</si>
  <si>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</si>
  <si>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</si>
  <si>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</si>
  <si>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</si>
  <si>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</si>
  <si>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</si>
  <si>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</si>
  <si>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</si>
  <si>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</si>
  <si>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</si>
  <si>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</si>
  <si>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</si>
  <si>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</si>
  <si>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</si>
  <si>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</si>
  <si>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</si>
  <si>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</si>
  <si>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</si>
  <si>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</si>
  <si>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</si>
  <si>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</si>
  <si>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</si>
  <si>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</si>
  <si>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</si>
  <si>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</si>
  <si>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</si>
  <si>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</si>
  <si>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</si>
  <si>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</si>
  <si>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</si>
  <si>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</si>
  <si>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</si>
  <si>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</si>
  <si>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</si>
  <si>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</si>
  <si>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</si>
  <si>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</si>
  <si>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</si>
  <si>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</si>
  <si>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</si>
  <si>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</si>
  <si>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</si>
  <si>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</si>
  <si>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</si>
  <si>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</si>
  <si>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</si>
  <si>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</si>
  <si>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</si>
  <si>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</si>
  <si>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</si>
  <si>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</si>
  <si>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</si>
  <si>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</si>
  <si>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</si>
  <si>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</si>
  <si>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</si>
  <si>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</si>
  <si>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</si>
  <si>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</si>
  <si>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</si>
  <si>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</si>
  <si>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</si>
  <si>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</si>
  <si>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</si>
  <si>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</si>
  <si>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</si>
  <si>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</si>
  <si>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</si>
  <si>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</si>
  <si>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</si>
  <si>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</si>
  <si>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</si>
  <si>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</si>
  <si>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</si>
  <si>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</si>
  <si>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</si>
  <si>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</si>
  <si>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</si>
  <si>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</si>
  <si>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</si>
  <si>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</si>
  <si>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</si>
  <si>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</si>
  <si>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</si>
  <si>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</si>
  <si>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</si>
  <si>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</si>
  <si>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</si>
  <si>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</si>
  <si>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</si>
  <si>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</si>
  <si>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</si>
  <si>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</si>
  <si>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</si>
  <si>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</si>
  <si>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</si>
  <si>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</si>
  <si>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</si>
  <si>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</si>
  <si>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</si>
  <si>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</si>
  <si>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</si>
  <si>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</si>
  <si>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</si>
  <si>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</si>
  <si>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</si>
  <si>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</si>
  <si>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</si>
  <si>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</si>
  <si>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</si>
  <si>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</si>
  <si>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</si>
  <si>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</si>
  <si>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</si>
  <si>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</si>
  <si>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</si>
  <si>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</si>
  <si>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</si>
  <si>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</si>
  <si>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</si>
  <si>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</si>
  <si>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</si>
  <si>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</si>
  <si>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</si>
  <si>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</si>
  <si>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</si>
  <si>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</si>
  <si>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</si>
  <si>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</si>
  <si>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</si>
  <si>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</si>
  <si>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</si>
  <si>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</si>
  <si>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</si>
  <si>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</si>
  <si>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</si>
  <si>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</si>
  <si>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</si>
  <si>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</si>
  <si>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</si>
  <si>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</si>
  <si>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</si>
  <si>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</si>
  <si>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</si>
  <si>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</si>
  <si>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</si>
  <si>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</si>
  <si>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</si>
  <si>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</si>
  <si>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</si>
  <si>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</si>
  <si>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</si>
  <si>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</si>
  <si>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</si>
  <si>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</si>
  <si>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</si>
  <si>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</si>
  <si>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</si>
  <si>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</si>
  <si>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</si>
  <si>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</si>
  <si>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</si>
  <si>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</si>
  <si>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</si>
  <si>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</si>
  <si>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</si>
  <si>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</si>
  <si>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</si>
  <si>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</si>
  <si>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</si>
  <si>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</si>
  <si>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</si>
  <si>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</si>
  <si>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</si>
  <si>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</si>
  <si>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</si>
  <si>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</si>
  <si>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</si>
  <si>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</si>
  <si>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</si>
  <si>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</si>
  <si>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</si>
  <si>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</si>
  <si>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</si>
  <si>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</si>
  <si>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</si>
  <si>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</si>
  <si>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</si>
  <si>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</si>
  <si>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</si>
  <si>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</si>
  <si>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</si>
  <si>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</si>
  <si>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</si>
  <si>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</si>
  <si>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</si>
  <si>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</si>
  <si>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</si>
  <si>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</si>
  <si>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</si>
  <si>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</si>
  <si>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</si>
  <si>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</si>
  <si>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</si>
  <si>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</si>
  <si>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</si>
  <si>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</si>
  <si>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</si>
  <si>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</si>
  <si>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</si>
  <si>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</si>
  <si>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</si>
  <si>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</si>
  <si>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</si>
  <si>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</si>
  <si>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</si>
  <si>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</si>
  <si>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</si>
  <si>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</si>
  <si>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</si>
  <si>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</si>
  <si>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</si>
  <si>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</si>
  <si>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</si>
  <si>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</si>
  <si>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</si>
  <si>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</si>
  <si>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</si>
  <si>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</si>
  <si>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</si>
  <si>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</si>
  <si>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</si>
  <si>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</si>
  <si>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</si>
  <si>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</si>
  <si>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</si>
  <si>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</si>
  <si>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</si>
  <si>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</si>
  <si>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</si>
  <si>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</si>
  <si>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</si>
  <si>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</si>
  <si>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</si>
  <si>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</si>
  <si>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</si>
  <si>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</si>
  <si>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</si>
  <si>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</si>
  <si>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</si>
  <si>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</si>
  <si>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</si>
  <si>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</si>
  <si>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</si>
  <si>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</si>
  <si>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</si>
  <si>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</si>
  <si>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</si>
  <si>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</si>
  <si>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</si>
  <si>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</si>
  <si>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</si>
  <si>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</si>
  <si>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</si>
  <si>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</si>
  <si>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</si>
  <si>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</si>
  <si>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</si>
  <si>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</si>
  <si>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</si>
  <si>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</si>
  <si>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</si>
  <si>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</si>
  <si>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</si>
  <si>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</si>
  <si>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</si>
  <si>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</si>
  <si>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</si>
  <si>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</si>
  <si>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</si>
  <si>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</si>
  <si>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</si>
  <si>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</si>
  <si>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</si>
  <si>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</si>
  <si>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</si>
  <si>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</si>
  <si>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</si>
  <si>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</si>
  <si>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</si>
  <si>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</si>
  <si>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</si>
  <si>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</si>
  <si>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</si>
  <si>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</si>
  <si>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</si>
  <si>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</si>
  <si>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</si>
  <si>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</si>
  <si>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</si>
  <si>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</si>
  <si>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</si>
  <si>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</si>
  <si>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</si>
  <si>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</si>
  <si>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</si>
  <si>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</si>
  <si>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</si>
  <si>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</si>
  <si>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</si>
  <si>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</si>
  <si>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</si>
  <si>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</si>
  <si>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</si>
  <si>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</si>
  <si>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</si>
  <si>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</si>
  <si>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</si>
  <si>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</si>
  <si>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</si>
  <si>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</si>
  <si>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</si>
  <si>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</si>
  <si>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</si>
  <si>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</si>
  <si>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</si>
  <si>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</si>
  <si>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</si>
  <si>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</si>
  <si>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</si>
  <si>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</si>
  <si>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</si>
  <si>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</si>
  <si>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</si>
  <si>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</si>
  <si>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</si>
  <si>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</si>
  <si>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</si>
  <si>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</si>
  <si>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</si>
  <si>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</si>
  <si>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</si>
  <si>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</si>
  <si>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</si>
  <si>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</si>
  <si>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</si>
  <si>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</si>
  <si>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</si>
  <si>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</si>
  <si>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</si>
  <si>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</si>
  <si>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</si>
  <si>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</si>
  <si>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</si>
  <si>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</si>
  <si>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</si>
  <si>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</si>
  <si>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</si>
  <si>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</si>
  <si>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</si>
  <si>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</si>
  <si>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</si>
  <si>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</si>
  <si>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</si>
  <si>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</si>
  <si>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</si>
  <si>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</si>
  <si>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</si>
  <si>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</si>
  <si>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</si>
  <si>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</si>
  <si>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</si>
  <si>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</si>
  <si>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</si>
  <si>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</si>
  <si>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</si>
  <si>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</si>
  <si>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</si>
  <si>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</si>
  <si>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</si>
  <si>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</si>
  <si>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</si>
  <si>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</si>
  <si>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</si>
  <si>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</si>
  <si>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</si>
  <si>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</si>
  <si>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</si>
  <si>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</si>
  <si>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</si>
  <si>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</si>
  <si>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</si>
  <si>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</si>
  <si>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</si>
  <si>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</si>
  <si>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</si>
  <si>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</si>
  <si>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</si>
  <si>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</si>
  <si>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</si>
  <si>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</si>
  <si>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</si>
  <si>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</si>
  <si>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</si>
  <si>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</si>
  <si>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</si>
  <si>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</si>
  <si>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</si>
  <si>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</si>
  <si>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</si>
  <si>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</si>
  <si>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</si>
  <si>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</si>
  <si>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</si>
  <si>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</si>
  <si>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</si>
  <si>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</si>
  <si>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</si>
  <si>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</si>
  <si>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</si>
  <si>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</si>
  <si>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</si>
  <si>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</si>
  <si>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</si>
  <si>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</si>
  <si>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</si>
  <si>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</si>
  <si>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</si>
  <si>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</si>
  <si>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</si>
  <si>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</si>
  <si>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</si>
  <si>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</si>
  <si>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</si>
  <si>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</si>
  <si>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</si>
  <si>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</si>
  <si>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</si>
  <si>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</si>
  <si>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</si>
  <si>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</si>
  <si>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</si>
  <si>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97596</t>
  </si>
  <si>
    <t>219</t>
  </si>
  <si>
    <t>Humana Health Plan of Ohio, Inc.</t>
  </si>
  <si>
    <t>Humana Employers Health Plan of Georgia, Inc.</t>
  </si>
  <si>
    <t>Humana Health Plan, Inc.</t>
  </si>
  <si>
    <t>Humana Insurance Company of Kentucky</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</si>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</sst>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176</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17097786</v>
      </c>
      <c r="E5" s="213">
        <f>SUM('Pt 2 Premium and Claims'!E$5,'Pt 2 Premium and Claims'!E$6,-'Pt 2 Premium and Claims'!E$7,-'Pt 2 Premium and Claims'!E$13,'Pt 2 Premium and Claims'!E$14:'Pt 2 Premium and Claims'!E$17)</f>
        <v>19262071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16010801</v>
      </c>
      <c r="K5" s="213">
        <f>SUM('Pt 2 Premium and Claims'!K$5,'Pt 2 Premium and Claims'!K$6,-'Pt 2 Premium and Claims'!K$7,-'Pt 2 Premium and Claims'!K$13,'Pt 2 Premium and Claims'!K$14,'Pt 2 Premium and Claims'!K$16:'Pt 2 Premium and Claims'!K$17)</f>
        <v>2970480.83</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6652387</v>
      </c>
      <c r="Q5" s="213">
        <f>SUM('Pt 2 Premium and Claims'!Q$5,'Pt 2 Premium and Claims'!Q$6,-'Pt 2 Premium and Claims'!Q$7,-'Pt 2 Premium and Claims'!Q$13,'Pt 2 Premium and Claims'!Q$14)</f>
        <v>194016.99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49909844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-223</v>
      </c>
      <c r="E7" s="217">
        <v>-222.91</v>
      </c>
      <c r="F7" s="217"/>
      <c r="G7" s="217"/>
      <c r="H7" s="217"/>
      <c r="I7" s="216"/>
      <c r="J7" s="216">
        <v>-471</v>
      </c>
      <c r="K7" s="217">
        <v>-94.51</v>
      </c>
      <c r="L7" s="217"/>
      <c r="M7" s="217"/>
      <c r="N7" s="217"/>
      <c r="O7" s="216"/>
      <c r="P7" s="216">
        <v>-264</v>
      </c>
      <c r="Q7" s="217">
        <v>-9.7100000000000009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-607</v>
      </c>
      <c r="AU7" s="220">
        <v>0</v>
      </c>
      <c r="AV7" s="290"/>
      <c r="AW7" s="297"/>
    </row>
    <row r="8" spans="1:49" ht="25.5" x14ac:dyDescent="0.2">
      <c r="B8" s="239" t="s">
        <v>225</v>
      </c>
      <c r="C8" s="203" t="s">
        <v>59</v>
      </c>
      <c r="D8" s="216">
        <v>-107099</v>
      </c>
      <c r="E8" s="268"/>
      <c r="F8" s="269"/>
      <c r="G8" s="269"/>
      <c r="H8" s="269"/>
      <c r="I8" s="272"/>
      <c r="J8" s="216">
        <v>-24701</v>
      </c>
      <c r="K8" s="268"/>
      <c r="L8" s="269"/>
      <c r="M8" s="269"/>
      <c r="N8" s="269"/>
      <c r="O8" s="272"/>
      <c r="P8" s="216">
        <v>-10175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-553761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20087464</v>
      </c>
      <c r="E12" s="213">
        <f>'Pt 2 Premium and Claims'!E$54</f>
        <v>20542930.9091</v>
      </c>
      <c r="F12" s="213">
        <f>'Pt 2 Premium and Claims'!F$54</f>
        <v>0</v>
      </c>
      <c r="G12" s="213">
        <f>'Pt 2 Premium and Claims'!G$54</f>
        <v>0</v>
      </c>
      <c r="H12" s="213">
        <f>'Pt 2 Premium and Claims'!H$54</f>
        <v>0</v>
      </c>
      <c r="I12" s="212">
        <f>'Pt 2 Premium and Claims'!I$54</f>
        <v>0</v>
      </c>
      <c r="J12" s="212">
        <f>'Pt 2 Premium and Claims'!J$54</f>
        <v>11216969</v>
      </c>
      <c r="K12" s="213">
        <f>'Pt 2 Premium and Claims'!K$54</f>
        <v>1380499.9927006399</v>
      </c>
      <c r="L12" s="213">
        <f>'Pt 2 Premium and Claims'!L$54</f>
        <v>0</v>
      </c>
      <c r="M12" s="213">
        <f>'Pt 2 Premium and Claims'!M$54</f>
        <v>0</v>
      </c>
      <c r="N12" s="213">
        <f>'Pt 2 Premium and Claims'!N$54</f>
        <v>0</v>
      </c>
      <c r="O12" s="212">
        <f>'Pt 2 Premium and Claims'!O$54</f>
        <v>0</v>
      </c>
      <c r="P12" s="212">
        <f>'Pt 2 Premium and Claims'!P$54</f>
        <v>6010385</v>
      </c>
      <c r="Q12" s="213">
        <f>'Pt 2 Premium and Claims'!Q$54</f>
        <v>160610.81847206599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36472115</v>
      </c>
      <c r="AU12" s="214">
        <f>'Pt 2 Premium and Claims'!AU$54</f>
        <v>0</v>
      </c>
      <c r="AV12" s="291"/>
      <c r="AW12" s="296"/>
    </row>
    <row r="13" spans="1:49" ht="25.5" x14ac:dyDescent="0.2">
      <c r="B13" s="239" t="s">
        <v>230</v>
      </c>
      <c r="C13" s="203" t="s">
        <v>37</v>
      </c>
      <c r="D13" s="216">
        <v>2716462</v>
      </c>
      <c r="E13" s="217">
        <v>2713430.34</v>
      </c>
      <c r="F13" s="217"/>
      <c r="G13" s="268"/>
      <c r="H13" s="269"/>
      <c r="I13" s="216"/>
      <c r="J13" s="216">
        <v>267458</v>
      </c>
      <c r="K13" s="217">
        <v>266159.55474725744</v>
      </c>
      <c r="L13" s="217"/>
      <c r="M13" s="268"/>
      <c r="N13" s="269"/>
      <c r="O13" s="216"/>
      <c r="P13" s="216">
        <v>7452</v>
      </c>
      <c r="Q13" s="217">
        <v>8134.1152527425866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157721</v>
      </c>
      <c r="AU13" s="220">
        <v>0</v>
      </c>
      <c r="AV13" s="290"/>
      <c r="AW13" s="297"/>
    </row>
    <row r="14" spans="1:49" ht="25.5" x14ac:dyDescent="0.2">
      <c r="B14" s="239" t="s">
        <v>231</v>
      </c>
      <c r="C14" s="203" t="s">
        <v>6</v>
      </c>
      <c r="D14" s="216">
        <v>381954</v>
      </c>
      <c r="E14" s="217">
        <v>367180.64</v>
      </c>
      <c r="F14" s="217"/>
      <c r="G14" s="267"/>
      <c r="H14" s="270"/>
      <c r="I14" s="216"/>
      <c r="J14" s="216">
        <v>42340</v>
      </c>
      <c r="K14" s="217">
        <v>42077.80999999999</v>
      </c>
      <c r="L14" s="217"/>
      <c r="M14" s="267"/>
      <c r="N14" s="270"/>
      <c r="O14" s="216"/>
      <c r="P14" s="216">
        <v>724</v>
      </c>
      <c r="Q14" s="217">
        <v>663.11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150</v>
      </c>
      <c r="AU14" s="220">
        <v>0</v>
      </c>
      <c r="AV14" s="290"/>
      <c r="AW14" s="297"/>
    </row>
    <row r="15" spans="1:49" ht="38.25" x14ac:dyDescent="0.2">
      <c r="B15" s="239" t="s">
        <v>232</v>
      </c>
      <c r="C15" s="203" t="s">
        <v>7</v>
      </c>
      <c r="D15" s="216">
        <v>6</v>
      </c>
      <c r="E15" s="217">
        <v>5.59</v>
      </c>
      <c r="F15" s="217"/>
      <c r="G15" s="267"/>
      <c r="H15" s="273"/>
      <c r="I15" s="216"/>
      <c r="J15" s="216">
        <v>5</v>
      </c>
      <c r="K15" s="217">
        <v>1.02</v>
      </c>
      <c r="L15" s="217"/>
      <c r="M15" s="267"/>
      <c r="N15" s="273"/>
      <c r="O15" s="216"/>
      <c r="P15" s="216">
        <v>2</v>
      </c>
      <c r="Q15" s="217">
        <v>2.8999999999999999E-39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16</v>
      </c>
      <c r="AU15" s="220">
        <v>0</v>
      </c>
      <c r="AV15" s="290"/>
      <c r="AW15" s="297"/>
    </row>
    <row r="16" spans="1:49" ht="25.5" x14ac:dyDescent="0.2">
      <c r="B16" s="239" t="s">
        <v>233</v>
      </c>
      <c r="C16" s="203" t="s">
        <v>61</v>
      </c>
      <c r="D16" s="216">
        <v>-2242143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53401</v>
      </c>
      <c r="AU16" s="220">
        <v>0</v>
      </c>
      <c r="AV16" s="290"/>
      <c r="AW16" s="297"/>
    </row>
    <row r="17" spans="1:49" x14ac:dyDescent="0.2">
      <c r="B17" s="239" t="s">
        <v>234</v>
      </c>
      <c r="C17" s="203" t="s">
        <v>62</v>
      </c>
      <c r="D17" s="216">
        <v>2727675</v>
      </c>
      <c r="E17" s="267"/>
      <c r="F17" s="270"/>
      <c r="G17" s="270"/>
      <c r="H17" s="270"/>
      <c r="I17" s="271"/>
      <c r="J17" s="216">
        <v>-180876</v>
      </c>
      <c r="K17" s="267"/>
      <c r="L17" s="270"/>
      <c r="M17" s="270"/>
      <c r="N17" s="270"/>
      <c r="O17" s="271"/>
      <c r="P17" s="216">
        <v>-5665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214959</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34257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175</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11641</v>
      </c>
      <c r="E22" s="222">
        <f>'Pt 2 Premium and Claims'!E$55</f>
        <v>11640.85</v>
      </c>
      <c r="F22" s="222">
        <f>'Pt 2 Premium and Claims'!F$55</f>
        <v>0</v>
      </c>
      <c r="G22" s="222">
        <f>'Pt 2 Premium and Claims'!G$55</f>
        <v>0</v>
      </c>
      <c r="H22" s="222">
        <f>'Pt 2 Premium and Claims'!H$55</f>
        <v>0</v>
      </c>
      <c r="I22" s="221">
        <f>'Pt 2 Premium and Claims'!I$55</f>
        <v>0</v>
      </c>
      <c r="J22" s="221">
        <f>'Pt 2 Premium and Claims'!J$55</f>
        <v>17520</v>
      </c>
      <c r="K22" s="222">
        <f>'Pt 2 Premium and Claims'!K$55</f>
        <v>666.38</v>
      </c>
      <c r="L22" s="222">
        <f>'Pt 2 Premium and Claims'!L$55</f>
        <v>0</v>
      </c>
      <c r="M22" s="222">
        <f>'Pt 2 Premium and Claims'!M$55</f>
        <v>0</v>
      </c>
      <c r="N22" s="222">
        <f>'Pt 2 Premium and Claims'!N$55</f>
        <v>0</v>
      </c>
      <c r="O22" s="221">
        <f>'Pt 2 Premium and Claims'!O$55</f>
        <v>0</v>
      </c>
      <c r="P22" s="221">
        <f>'Pt 2 Premium and Claims'!P$55</f>
        <v>9768.5300000000007</v>
      </c>
      <c r="Q22" s="222">
        <f>'Pt 2 Premium and Claims'!Q$55</f>
        <v>264.82</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-1494831.67</v>
      </c>
      <c r="E25" s="217">
        <v>-1494654.9806274239</v>
      </c>
      <c r="F25" s="217"/>
      <c r="G25" s="217"/>
      <c r="H25" s="217"/>
      <c r="I25" s="216"/>
      <c r="J25" s="216">
        <v>1217410.8400000001</v>
      </c>
      <c r="K25" s="217">
        <v>208385.89358950619</v>
      </c>
      <c r="L25" s="217"/>
      <c r="M25" s="217"/>
      <c r="N25" s="217"/>
      <c r="O25" s="216"/>
      <c r="P25" s="216">
        <v>-607115.93999999994</v>
      </c>
      <c r="Q25" s="217">
        <v>-168628.80528691204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831137.98</v>
      </c>
      <c r="AU25" s="220"/>
      <c r="AV25" s="220"/>
      <c r="AW25" s="297"/>
    </row>
    <row r="26" spans="1:49" s="5" customFormat="1" x14ac:dyDescent="0.2">
      <c r="A26" s="35"/>
      <c r="B26" s="242" t="s">
        <v>242</v>
      </c>
      <c r="C26" s="203"/>
      <c r="D26" s="216">
        <v>8439.01</v>
      </c>
      <c r="E26" s="217">
        <v>8439.01</v>
      </c>
      <c r="F26" s="217"/>
      <c r="G26" s="217"/>
      <c r="H26" s="217"/>
      <c r="I26" s="216"/>
      <c r="J26" s="216">
        <v>7782.9</v>
      </c>
      <c r="K26" s="217">
        <v>1576.33</v>
      </c>
      <c r="L26" s="217"/>
      <c r="M26" s="217"/>
      <c r="N26" s="217"/>
      <c r="O26" s="216"/>
      <c r="P26" s="216">
        <v>3540.28</v>
      </c>
      <c r="Q26" s="217">
        <v>168.96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819.29</v>
      </c>
      <c r="AU26" s="220"/>
      <c r="AV26" s="220"/>
      <c r="AW26" s="297"/>
    </row>
    <row r="27" spans="1:49" s="5" customFormat="1" x14ac:dyDescent="0.2">
      <c r="B27" s="242" t="s">
        <v>243</v>
      </c>
      <c r="C27" s="203"/>
      <c r="D27" s="216">
        <v>285751.40999999997</v>
      </c>
      <c r="E27" s="217">
        <v>285751.40999999997</v>
      </c>
      <c r="F27" s="217"/>
      <c r="G27" s="217"/>
      <c r="H27" s="217"/>
      <c r="I27" s="216"/>
      <c r="J27" s="216">
        <v>272386.03999999998</v>
      </c>
      <c r="K27" s="217">
        <v>48433.3</v>
      </c>
      <c r="L27" s="217"/>
      <c r="M27" s="217"/>
      <c r="N27" s="217"/>
      <c r="O27" s="216"/>
      <c r="P27" s="216">
        <v>97417</v>
      </c>
      <c r="Q27" s="217">
        <v>-212.5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366551.47</v>
      </c>
      <c r="AU27" s="220"/>
      <c r="AV27" s="293"/>
      <c r="AW27" s="297"/>
    </row>
    <row r="28" spans="1:49" s="5" customFormat="1" x14ac:dyDescent="0.2">
      <c r="A28" s="35"/>
      <c r="B28" s="242" t="s">
        <v>244</v>
      </c>
      <c r="C28" s="203"/>
      <c r="D28" s="216">
        <v>43193.32</v>
      </c>
      <c r="E28" s="217">
        <v>43193.32</v>
      </c>
      <c r="F28" s="217"/>
      <c r="G28" s="217"/>
      <c r="H28" s="217"/>
      <c r="I28" s="216"/>
      <c r="J28" s="216">
        <v>27270.53</v>
      </c>
      <c r="K28" s="217">
        <v>4615.8999999999996</v>
      </c>
      <c r="L28" s="217"/>
      <c r="M28" s="217"/>
      <c r="N28" s="217"/>
      <c r="O28" s="216"/>
      <c r="P28" s="216">
        <v>14305.31</v>
      </c>
      <c r="Q28" s="217">
        <v>2417.7600000000002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115316.26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-111531.85</v>
      </c>
      <c r="E30" s="217">
        <v>-111518.02205105782</v>
      </c>
      <c r="F30" s="217"/>
      <c r="G30" s="217"/>
      <c r="H30" s="217"/>
      <c r="I30" s="216"/>
      <c r="J30" s="216">
        <v>97986.8</v>
      </c>
      <c r="K30" s="217">
        <v>16388.576086106408</v>
      </c>
      <c r="L30" s="217"/>
      <c r="M30" s="217"/>
      <c r="N30" s="217"/>
      <c r="O30" s="216"/>
      <c r="P30" s="216">
        <v>-46600.07</v>
      </c>
      <c r="Q30" s="217">
        <v>-13675.097783979316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79118.899999999994</v>
      </c>
      <c r="AU30" s="220"/>
      <c r="AV30" s="220"/>
      <c r="AW30" s="297"/>
    </row>
    <row r="31" spans="1:49" x14ac:dyDescent="0.2">
      <c r="B31" s="242" t="s">
        <v>247</v>
      </c>
      <c r="C31" s="203"/>
      <c r="D31" s="216">
        <v>236892.52</v>
      </c>
      <c r="E31" s="217">
        <v>236892.52</v>
      </c>
      <c r="F31" s="217"/>
      <c r="G31" s="217"/>
      <c r="H31" s="217"/>
      <c r="I31" s="216"/>
      <c r="J31" s="216">
        <v>252260.5</v>
      </c>
      <c r="K31" s="217">
        <v>46986.35</v>
      </c>
      <c r="L31" s="217"/>
      <c r="M31" s="217"/>
      <c r="N31" s="217"/>
      <c r="O31" s="216"/>
      <c r="P31" s="216">
        <v>100891.03</v>
      </c>
      <c r="Q31" s="217">
        <v>5445.71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763763.37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109536.27</v>
      </c>
      <c r="E34" s="217">
        <v>186295.04000000001</v>
      </c>
      <c r="F34" s="217"/>
      <c r="G34" s="217"/>
      <c r="H34" s="217"/>
      <c r="I34" s="216"/>
      <c r="J34" s="216">
        <v>24195.71</v>
      </c>
      <c r="K34" s="217">
        <v>24195.71</v>
      </c>
      <c r="L34" s="217"/>
      <c r="M34" s="217"/>
      <c r="N34" s="217"/>
      <c r="O34" s="216"/>
      <c r="P34" s="216">
        <v>1816.65</v>
      </c>
      <c r="Q34" s="217">
        <v>1816.65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101520.87</v>
      </c>
      <c r="E35" s="217">
        <v>101520.87</v>
      </c>
      <c r="F35" s="217"/>
      <c r="G35" s="217"/>
      <c r="H35" s="217"/>
      <c r="I35" s="216"/>
      <c r="J35" s="216">
        <v>20758.810000000001</v>
      </c>
      <c r="K35" s="217">
        <v>1544.99</v>
      </c>
      <c r="L35" s="217"/>
      <c r="M35" s="217"/>
      <c r="N35" s="217"/>
      <c r="O35" s="216"/>
      <c r="P35" s="216">
        <v>12198.54</v>
      </c>
      <c r="Q35" s="217">
        <v>734.2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66000.11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135821</v>
      </c>
      <c r="E37" s="225">
        <v>135820.71</v>
      </c>
      <c r="F37" s="225"/>
      <c r="G37" s="225"/>
      <c r="H37" s="225"/>
      <c r="I37" s="224"/>
      <c r="J37" s="224">
        <v>19315</v>
      </c>
      <c r="K37" s="225">
        <v>5946.02</v>
      </c>
      <c r="L37" s="225"/>
      <c r="M37" s="225"/>
      <c r="N37" s="225"/>
      <c r="O37" s="224"/>
      <c r="P37" s="224">
        <v>194270</v>
      </c>
      <c r="Q37" s="225">
        <v>149102.5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1552</v>
      </c>
      <c r="AU37" s="226">
        <v>0</v>
      </c>
      <c r="AV37" s="226">
        <v>292435</v>
      </c>
      <c r="AW37" s="296"/>
    </row>
    <row r="38" spans="1:49" x14ac:dyDescent="0.2">
      <c r="B38" s="239" t="s">
        <v>254</v>
      </c>
      <c r="C38" s="203" t="s">
        <v>16</v>
      </c>
      <c r="D38" s="216">
        <v>145296</v>
      </c>
      <c r="E38" s="217">
        <v>145295.72</v>
      </c>
      <c r="F38" s="217"/>
      <c r="G38" s="217"/>
      <c r="H38" s="217"/>
      <c r="I38" s="216"/>
      <c r="J38" s="216">
        <v>3903</v>
      </c>
      <c r="K38" s="217">
        <v>2184.64</v>
      </c>
      <c r="L38" s="217"/>
      <c r="M38" s="217"/>
      <c r="N38" s="217"/>
      <c r="O38" s="216"/>
      <c r="P38" s="216">
        <v>261394</v>
      </c>
      <c r="Q38" s="217">
        <v>207355.84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6</v>
      </c>
      <c r="AU38" s="220">
        <v>0</v>
      </c>
      <c r="AV38" s="220">
        <v>346617</v>
      </c>
      <c r="AW38" s="297"/>
    </row>
    <row r="39" spans="1:49" x14ac:dyDescent="0.2">
      <c r="B39" s="242" t="s">
        <v>255</v>
      </c>
      <c r="C39" s="203" t="s">
        <v>17</v>
      </c>
      <c r="D39" s="216">
        <v>33590</v>
      </c>
      <c r="E39" s="217">
        <v>33589.730000000003</v>
      </c>
      <c r="F39" s="217"/>
      <c r="G39" s="217"/>
      <c r="H39" s="217"/>
      <c r="I39" s="216"/>
      <c r="J39" s="216">
        <v>6295</v>
      </c>
      <c r="K39" s="217">
        <v>3302.99</v>
      </c>
      <c r="L39" s="217"/>
      <c r="M39" s="217"/>
      <c r="N39" s="217"/>
      <c r="O39" s="216"/>
      <c r="P39" s="216">
        <v>23816</v>
      </c>
      <c r="Q39" s="217">
        <v>17712.75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5010</v>
      </c>
      <c r="AU39" s="220">
        <v>0</v>
      </c>
      <c r="AV39" s="220">
        <v>56722</v>
      </c>
      <c r="AW39" s="297"/>
    </row>
    <row r="40" spans="1:49" x14ac:dyDescent="0.2">
      <c r="B40" s="242" t="s">
        <v>256</v>
      </c>
      <c r="C40" s="203" t="s">
        <v>38</v>
      </c>
      <c r="D40" s="216">
        <v>130094</v>
      </c>
      <c r="E40" s="217">
        <v>130094.13</v>
      </c>
      <c r="F40" s="217"/>
      <c r="G40" s="217"/>
      <c r="H40" s="217"/>
      <c r="I40" s="216"/>
      <c r="J40" s="216">
        <v>72703</v>
      </c>
      <c r="K40" s="217">
        <v>49442.98</v>
      </c>
      <c r="L40" s="217"/>
      <c r="M40" s="217"/>
      <c r="N40" s="217"/>
      <c r="O40" s="216"/>
      <c r="P40" s="216">
        <v>110036</v>
      </c>
      <c r="Q40" s="217">
        <v>77114.2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153503</v>
      </c>
      <c r="AU40" s="220">
        <v>0</v>
      </c>
      <c r="AV40" s="220">
        <v>171330</v>
      </c>
      <c r="AW40" s="297"/>
    </row>
    <row r="41" spans="1:49" s="5" customFormat="1" ht="25.5" x14ac:dyDescent="0.2">
      <c r="A41" s="35"/>
      <c r="B41" s="242" t="s">
        <v>257</v>
      </c>
      <c r="C41" s="203" t="s">
        <v>129</v>
      </c>
      <c r="D41" s="216">
        <v>25323</v>
      </c>
      <c r="E41" s="217">
        <v>25322.69</v>
      </c>
      <c r="F41" s="217"/>
      <c r="G41" s="217"/>
      <c r="H41" s="217"/>
      <c r="I41" s="216"/>
      <c r="J41" s="216">
        <v>22213</v>
      </c>
      <c r="K41" s="217">
        <v>3523.01</v>
      </c>
      <c r="L41" s="217"/>
      <c r="M41" s="217"/>
      <c r="N41" s="217"/>
      <c r="O41" s="216"/>
      <c r="P41" s="216">
        <v>9475</v>
      </c>
      <c r="Q41" s="217">
        <v>344.03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71709</v>
      </c>
      <c r="AU41" s="220">
        <v>0</v>
      </c>
      <c r="AV41" s="220">
        <v>41128</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206639</v>
      </c>
      <c r="E44" s="225">
        <v>206638.5</v>
      </c>
      <c r="F44" s="225"/>
      <c r="G44" s="225"/>
      <c r="H44" s="225"/>
      <c r="I44" s="224"/>
      <c r="J44" s="224">
        <v>142143</v>
      </c>
      <c r="K44" s="225">
        <v>31584.07</v>
      </c>
      <c r="L44" s="225"/>
      <c r="M44" s="225"/>
      <c r="N44" s="225"/>
      <c r="O44" s="224"/>
      <c r="P44" s="224">
        <v>91470</v>
      </c>
      <c r="Q44" s="225">
        <v>25388.799999999999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195454</v>
      </c>
      <c r="AU44" s="226">
        <v>0</v>
      </c>
      <c r="AV44" s="226">
        <v>329385</v>
      </c>
      <c r="AW44" s="296"/>
    </row>
    <row r="45" spans="1:49" x14ac:dyDescent="0.2">
      <c r="B45" s="245" t="s">
        <v>261</v>
      </c>
      <c r="C45" s="203" t="s">
        <v>19</v>
      </c>
      <c r="D45" s="216">
        <v>171838</v>
      </c>
      <c r="E45" s="217">
        <v>171837.94</v>
      </c>
      <c r="F45" s="217"/>
      <c r="G45" s="217"/>
      <c r="H45" s="217"/>
      <c r="I45" s="216"/>
      <c r="J45" s="216">
        <v>65867</v>
      </c>
      <c r="K45" s="217">
        <v>16426.45</v>
      </c>
      <c r="L45" s="217"/>
      <c r="M45" s="217"/>
      <c r="N45" s="217"/>
      <c r="O45" s="216"/>
      <c r="P45" s="216">
        <v>25610</v>
      </c>
      <c r="Q45" s="217">
        <v>1162.96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372035</v>
      </c>
      <c r="AU45" s="220">
        <v>0</v>
      </c>
      <c r="AV45" s="220">
        <v>235819</v>
      </c>
      <c r="AW45" s="297"/>
    </row>
    <row r="46" spans="1:49" x14ac:dyDescent="0.2">
      <c r="B46" s="245" t="s">
        <v>262</v>
      </c>
      <c r="C46" s="203" t="s">
        <v>20</v>
      </c>
      <c r="D46" s="216">
        <v>59042</v>
      </c>
      <c r="E46" s="217">
        <v>59041.97</v>
      </c>
      <c r="F46" s="217"/>
      <c r="G46" s="217"/>
      <c r="H46" s="217"/>
      <c r="I46" s="216"/>
      <c r="J46" s="216">
        <v>60658</v>
      </c>
      <c r="K46" s="217">
        <v>9731.83</v>
      </c>
      <c r="L46" s="217"/>
      <c r="M46" s="217"/>
      <c r="N46" s="217"/>
      <c r="O46" s="216"/>
      <c r="P46" s="216">
        <v>25899</v>
      </c>
      <c r="Q46" s="217">
        <v>697.56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231640</v>
      </c>
      <c r="AU46" s="220">
        <v>0</v>
      </c>
      <c r="AV46" s="220">
        <v>75606</v>
      </c>
      <c r="AW46" s="297"/>
    </row>
    <row r="47" spans="1:49" x14ac:dyDescent="0.2">
      <c r="B47" s="245" t="s">
        <v>263</v>
      </c>
      <c r="C47" s="203" t="s">
        <v>21</v>
      </c>
      <c r="D47" s="216">
        <v>591590</v>
      </c>
      <c r="E47" s="217">
        <v>591589.91</v>
      </c>
      <c r="F47" s="217"/>
      <c r="G47" s="217"/>
      <c r="H47" s="217"/>
      <c r="I47" s="216"/>
      <c r="J47" s="216">
        <v>566030</v>
      </c>
      <c r="K47" s="217">
        <v>557601.07999999996</v>
      </c>
      <c r="L47" s="217"/>
      <c r="M47" s="217"/>
      <c r="N47" s="217"/>
      <c r="O47" s="216"/>
      <c r="P47" s="216">
        <v>35140</v>
      </c>
      <c r="Q47" s="217">
        <v>30717.1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7749985</v>
      </c>
      <c r="AU47" s="220">
        <v>0</v>
      </c>
      <c r="AV47" s="220">
        <v>40145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-42524.24</v>
      </c>
      <c r="E49" s="217">
        <v>-42519.199999999997</v>
      </c>
      <c r="F49" s="217"/>
      <c r="G49" s="217"/>
      <c r="H49" s="217"/>
      <c r="I49" s="216"/>
      <c r="J49" s="216">
        <v>32568.49</v>
      </c>
      <c r="K49" s="217">
        <v>3658.66</v>
      </c>
      <c r="L49" s="217"/>
      <c r="M49" s="217"/>
      <c r="N49" s="217"/>
      <c r="O49" s="216"/>
      <c r="P49" s="216">
        <v>-18415.509999999998</v>
      </c>
      <c r="Q49" s="217">
        <v>-5942.23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25144.19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1343721</v>
      </c>
      <c r="E51" s="217">
        <v>1343721.45</v>
      </c>
      <c r="F51" s="217"/>
      <c r="G51" s="217"/>
      <c r="H51" s="217"/>
      <c r="I51" s="216"/>
      <c r="J51" s="216">
        <v>766945</v>
      </c>
      <c r="K51" s="217">
        <v>64725.22</v>
      </c>
      <c r="L51" s="217"/>
      <c r="M51" s="217"/>
      <c r="N51" s="217"/>
      <c r="O51" s="216"/>
      <c r="P51" s="216">
        <v>318386</v>
      </c>
      <c r="Q51" s="217">
        <v>-39861.839999999997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162339</v>
      </c>
      <c r="AU51" s="220">
        <v>0</v>
      </c>
      <c r="AV51" s="220">
        <v>1675467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2238</v>
      </c>
      <c r="E56" s="229">
        <v>2238</v>
      </c>
      <c r="F56" s="229"/>
      <c r="G56" s="229"/>
      <c r="H56" s="229"/>
      <c r="I56" s="228"/>
      <c r="J56" s="228">
        <v>15688</v>
      </c>
      <c r="K56" s="229">
        <v>251</v>
      </c>
      <c r="L56" s="229"/>
      <c r="M56" s="229"/>
      <c r="N56" s="229"/>
      <c r="O56" s="228"/>
      <c r="P56" s="228">
        <v>6929</v>
      </c>
      <c r="Q56" s="229">
        <v>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87575</v>
      </c>
      <c r="AU56" s="230">
        <v>0</v>
      </c>
      <c r="AV56" s="230">
        <v>2598</v>
      </c>
      <c r="AW56" s="288"/>
    </row>
    <row r="57" spans="2:49" x14ac:dyDescent="0.2">
      <c r="B57" s="245" t="s">
        <v>272</v>
      </c>
      <c r="C57" s="203" t="s">
        <v>25</v>
      </c>
      <c r="D57" s="231">
        <v>3931</v>
      </c>
      <c r="E57" s="232">
        <v>3931</v>
      </c>
      <c r="F57" s="232"/>
      <c r="G57" s="232"/>
      <c r="H57" s="232"/>
      <c r="I57" s="231"/>
      <c r="J57" s="231">
        <v>29949</v>
      </c>
      <c r="K57" s="232">
        <v>528</v>
      </c>
      <c r="L57" s="232"/>
      <c r="M57" s="232"/>
      <c r="N57" s="232"/>
      <c r="O57" s="231"/>
      <c r="P57" s="231">
        <v>13155</v>
      </c>
      <c r="Q57" s="232">
        <v>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161884</v>
      </c>
      <c r="AU57" s="233">
        <v>0</v>
      </c>
      <c r="AV57" s="233">
        <v>6396</v>
      </c>
      <c r="AW57" s="289"/>
    </row>
    <row r="58" spans="2:49" x14ac:dyDescent="0.2">
      <c r="B58" s="245" t="s">
        <v>273</v>
      </c>
      <c r="C58" s="203" t="s">
        <v>26</v>
      </c>
      <c r="D58" s="309"/>
      <c r="E58" s="310"/>
      <c r="F58" s="310"/>
      <c r="G58" s="310"/>
      <c r="H58" s="310"/>
      <c r="I58" s="309"/>
      <c r="J58" s="231">
        <v>43</v>
      </c>
      <c r="K58" s="232">
        <v>43</v>
      </c>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1844</v>
      </c>
      <c r="AU58" s="233">
        <v>0</v>
      </c>
      <c r="AV58" s="233">
        <v>5</v>
      </c>
      <c r="AW58" s="289"/>
    </row>
    <row r="59" spans="2:49" x14ac:dyDescent="0.2">
      <c r="B59" s="245" t="s">
        <v>274</v>
      </c>
      <c r="C59" s="203" t="s">
        <v>27</v>
      </c>
      <c r="D59" s="231">
        <v>50848</v>
      </c>
      <c r="E59" s="232">
        <v>50883</v>
      </c>
      <c r="F59" s="232"/>
      <c r="G59" s="232"/>
      <c r="H59" s="232"/>
      <c r="I59" s="231"/>
      <c r="J59" s="231">
        <v>341451</v>
      </c>
      <c r="K59" s="232">
        <v>6566</v>
      </c>
      <c r="L59" s="232"/>
      <c r="M59" s="232"/>
      <c r="N59" s="232"/>
      <c r="O59" s="231"/>
      <c r="P59" s="231">
        <v>153749</v>
      </c>
      <c r="Q59" s="232">
        <v>485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1899361</v>
      </c>
      <c r="AU59" s="233">
        <v>0</v>
      </c>
      <c r="AV59" s="233">
        <v>78050</v>
      </c>
      <c r="AW59" s="289"/>
    </row>
    <row r="60" spans="2:49" x14ac:dyDescent="0.2">
      <c r="B60" s="245" t="s">
        <v>275</v>
      </c>
      <c r="C60" s="203"/>
      <c r="D60" s="234">
        <f t="shared" ref="D60:AC60" si="0">D$59/12</f>
        <v>4237.333333333333</v>
      </c>
      <c r="E60" s="235">
        <f t="shared" si="0"/>
        <v>4240.25</v>
      </c>
      <c r="F60" s="235">
        <f t="shared" si="0"/>
        <v>0</v>
      </c>
      <c r="G60" s="235">
        <f t="shared" si="0"/>
        <v>0</v>
      </c>
      <c r="H60" s="235">
        <f t="shared" si="0"/>
        <v>0</v>
      </c>
      <c r="I60" s="234">
        <f t="shared" si="0"/>
        <v>0</v>
      </c>
      <c r="J60" s="234">
        <f t="shared" si="0"/>
        <v>28454.25</v>
      </c>
      <c r="K60" s="235">
        <f t="shared" si="0"/>
        <v>547.16666666666663</v>
      </c>
      <c r="L60" s="235">
        <f t="shared" si="0"/>
        <v>0</v>
      </c>
      <c r="M60" s="235">
        <f t="shared" si="0"/>
        <v>0</v>
      </c>
      <c r="N60" s="235">
        <f t="shared" si="0"/>
        <v>0</v>
      </c>
      <c r="O60" s="234">
        <f t="shared" si="0"/>
        <v>0</v>
      </c>
      <c r="P60" s="234">
        <f t="shared" si="0"/>
        <v>12812.416666666666</v>
      </c>
      <c r="Q60" s="235">
        <f t="shared" si="0"/>
        <v>40.416666666666664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158280.08333333334</v>
      </c>
      <c r="AU60" s="236">
        <f>AU$59/12</f>
        <v>0</v>
      </c>
      <c r="AV60" s="236">
        <f>AV$59/12</f>
        <v>6504.166666666667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17104041</v>
      </c>
      <c r="E5" s="326">
        <v>15292961.66</v>
      </c>
      <c r="F5" s="326"/>
      <c r="G5" s="328"/>
      <c r="H5" s="328"/>
      <c r="I5" s="325"/>
      <c r="J5" s="325">
        <v>16010801</v>
      </c>
      <c r="K5" s="326">
        <v>3085447.75</v>
      </c>
      <c r="L5" s="326"/>
      <c r="M5" s="326"/>
      <c r="N5" s="326"/>
      <c r="O5" s="325"/>
      <c r="P5" s="325">
        <v>6652387</v>
      </c>
      <c r="Q5" s="326">
        <v>194016.99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49924463</v>
      </c>
      <c r="AU5" s="327">
        <v>0</v>
      </c>
      <c r="AV5" s="369"/>
      <c r="AW5" s="373"/>
    </row>
    <row r="6" spans="2:49" x14ac:dyDescent="0.2">
      <c r="B6" s="343" t="s">
        <v>278</v>
      </c>
      <c r="C6" s="331" t="s">
        <v>8</v>
      </c>
      <c r="D6" s="318">
        <v>51406</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131031</v>
      </c>
      <c r="AU6" s="321">
        <v>0</v>
      </c>
      <c r="AV6" s="368"/>
      <c r="AW6" s="374"/>
    </row>
    <row r="7" spans="2:49" x14ac:dyDescent="0.2">
      <c r="B7" s="343" t="s">
        <v>279</v>
      </c>
      <c r="C7" s="331" t="s">
        <v>9</v>
      </c>
      <c r="D7" s="318">
        <v>57661</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145650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214959</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175</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34257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2366363.09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1602746.25</v>
      </c>
      <c r="F16" s="319"/>
      <c r="G16" s="319"/>
      <c r="H16" s="319"/>
      <c r="I16" s="318"/>
      <c r="J16" s="318"/>
      <c r="K16" s="319">
        <v>-114966.92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-229427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19331338</v>
      </c>
      <c r="E23" s="362"/>
      <c r="F23" s="362"/>
      <c r="G23" s="362"/>
      <c r="H23" s="362"/>
      <c r="I23" s="364"/>
      <c r="J23" s="318">
        <v>10021458</v>
      </c>
      <c r="K23" s="362"/>
      <c r="L23" s="362"/>
      <c r="M23" s="362"/>
      <c r="N23" s="362"/>
      <c r="O23" s="364"/>
      <c r="P23" s="318">
        <v>6278094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36073933</v>
      </c>
      <c r="AU23" s="321">
        <v>0</v>
      </c>
      <c r="AV23" s="368"/>
      <c r="AW23" s="374"/>
    </row>
    <row r="24" spans="2:49" ht="28.5" customHeight="1" x14ac:dyDescent="0.2">
      <c r="B24" s="345" t="s">
        <v>114</v>
      </c>
      <c r="C24" s="331"/>
      <c r="D24" s="365"/>
      <c r="E24" s="319">
        <v>20756520.629999999</v>
      </c>
      <c r="F24" s="319"/>
      <c r="G24" s="319"/>
      <c r="H24" s="319"/>
      <c r="I24" s="318"/>
      <c r="J24" s="365"/>
      <c r="K24" s="319">
        <v>1410142.33</v>
      </c>
      <c r="L24" s="319"/>
      <c r="M24" s="319"/>
      <c r="N24" s="319"/>
      <c r="O24" s="318"/>
      <c r="P24" s="365"/>
      <c r="Q24" s="319">
        <v>155069.18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2664719</v>
      </c>
      <c r="E26" s="362"/>
      <c r="F26" s="362"/>
      <c r="G26" s="362"/>
      <c r="H26" s="362"/>
      <c r="I26" s="364"/>
      <c r="J26" s="318">
        <v>2255197</v>
      </c>
      <c r="K26" s="362"/>
      <c r="L26" s="362"/>
      <c r="M26" s="362"/>
      <c r="N26" s="362"/>
      <c r="O26" s="364"/>
      <c r="P26" s="318">
        <v>764962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5326080</v>
      </c>
      <c r="AU26" s="321">
        <v>0</v>
      </c>
      <c r="AV26" s="368"/>
      <c r="AW26" s="374"/>
    </row>
    <row r="27" spans="2:49" s="5" customFormat="1" ht="25.5" x14ac:dyDescent="0.2">
      <c r="B27" s="345" t="s">
        <v>85</v>
      </c>
      <c r="C27" s="331"/>
      <c r="D27" s="365"/>
      <c r="E27" s="319">
        <v>353209.91909999988</v>
      </c>
      <c r="F27" s="319"/>
      <c r="G27" s="319"/>
      <c r="H27" s="319"/>
      <c r="I27" s="318"/>
      <c r="J27" s="365"/>
      <c r="K27" s="319">
        <v>22298.162789675145</v>
      </c>
      <c r="L27" s="319"/>
      <c r="M27" s="319"/>
      <c r="N27" s="319"/>
      <c r="O27" s="318"/>
      <c r="P27" s="365"/>
      <c r="Q27" s="319">
        <v>2065.3043103248647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1645971</v>
      </c>
      <c r="E28" s="363"/>
      <c r="F28" s="363"/>
      <c r="G28" s="363"/>
      <c r="H28" s="363"/>
      <c r="I28" s="365"/>
      <c r="J28" s="318">
        <v>1257733</v>
      </c>
      <c r="K28" s="363"/>
      <c r="L28" s="363"/>
      <c r="M28" s="363"/>
      <c r="N28" s="363"/>
      <c r="O28" s="365"/>
      <c r="P28" s="318">
        <v>1011187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4768078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1061</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273289</v>
      </c>
      <c r="AU30" s="321">
        <v>0</v>
      </c>
      <c r="AV30" s="368"/>
      <c r="AW30" s="374"/>
    </row>
    <row r="31" spans="2:49" s="5" customFormat="1" ht="25.5" x14ac:dyDescent="0.2">
      <c r="B31" s="345" t="s">
        <v>84</v>
      </c>
      <c r="C31" s="331"/>
      <c r="D31" s="365"/>
      <c r="E31" s="319"/>
      <c r="F31" s="319"/>
      <c r="G31" s="319"/>
      <c r="H31" s="319"/>
      <c r="I31" s="318"/>
      <c r="J31" s="365"/>
      <c r="K31" s="319">
        <v>-753.44</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1815</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436692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848742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750</v>
      </c>
      <c r="AU34" s="321">
        <v>0</v>
      </c>
      <c r="AV34" s="368"/>
      <c r="AW34" s="374"/>
    </row>
    <row r="35" spans="2:49" s="5" customFormat="1" x14ac:dyDescent="0.2">
      <c r="B35" s="345" t="s">
        <v>91</v>
      </c>
      <c r="C35" s="331"/>
      <c r="D35" s="365"/>
      <c r="E35" s="319">
        <v>848741.59</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1048361</v>
      </c>
      <c r="E36" s="319">
        <v>1048360.59</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214959</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175</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34257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90475</v>
      </c>
      <c r="E49" s="319">
        <v>367180.64</v>
      </c>
      <c r="F49" s="319"/>
      <c r="G49" s="319"/>
      <c r="H49" s="319"/>
      <c r="I49" s="318"/>
      <c r="J49" s="318">
        <v>12297</v>
      </c>
      <c r="K49" s="319">
        <v>42077.80999999999</v>
      </c>
      <c r="L49" s="319"/>
      <c r="M49" s="319"/>
      <c r="N49" s="319"/>
      <c r="O49" s="318"/>
      <c r="P49" s="318">
        <v>21628</v>
      </c>
      <c r="Q49" s="319">
        <v>663.11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-1344</v>
      </c>
      <c r="AU49" s="321">
        <v>0</v>
      </c>
      <c r="AV49" s="368"/>
      <c r="AW49" s="374"/>
    </row>
    <row r="50" spans="2:49" x14ac:dyDescent="0.2">
      <c r="B50" s="343" t="s">
        <v>119</v>
      </c>
      <c r="C50" s="331" t="s">
        <v>34</v>
      </c>
      <c r="D50" s="318">
        <v>27472</v>
      </c>
      <c r="E50" s="363"/>
      <c r="F50" s="363"/>
      <c r="G50" s="363"/>
      <c r="H50" s="363"/>
      <c r="I50" s="365"/>
      <c r="J50" s="318">
        <v>30221</v>
      </c>
      <c r="K50" s="363"/>
      <c r="L50" s="363"/>
      <c r="M50" s="363"/>
      <c r="N50" s="363"/>
      <c r="O50" s="365"/>
      <c r="P50" s="318">
        <v>144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1489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-9109.2500890354549</v>
      </c>
      <c r="L53" s="319"/>
      <c r="M53" s="319"/>
      <c r="N53" s="319"/>
      <c r="O53" s="318"/>
      <c r="P53" s="318">
        <v>0</v>
      </c>
      <c r="Q53" s="319">
        <v>4139.4441617411203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20087464</v>
      </c>
      <c r="E54" s="323">
        <f>E24+E27+E31+E35-E36+E39+E42+E45+E46-E49+E51+E52+E53</f>
        <v>20542930.9091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11216969</v>
      </c>
      <c r="K54" s="323">
        <f>K24+K27+K31+K35-K36+K39+K42+K45+K46-K49+K51+K52+K53</f>
        <v>1380499.9927006399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6010385</v>
      </c>
      <c r="Q54" s="323">
        <f>Q24+Q27+Q31+Q35-Q36+Q39+Q42+Q45+Q46-Q49+Q51+Q52+Q53</f>
        <v>160610.81847206599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36472115</v>
      </c>
      <c r="AU54" s="324">
        <f>AU23+AU26-AU28+AU30-AU32+AU34-AU36+AU38+AU41-AU43+AU45+AU46-AU47-AU49+AU50+AU51+AU52+AU53</f>
        <v>0</v>
      </c>
      <c r="AV54" s="368"/>
      <c r="AW54" s="374"/>
    </row>
    <row r="55" spans="2:49" ht="25.5" x14ac:dyDescent="0.2">
      <c r="B55" s="348" t="s">
        <v>493</v>
      </c>
      <c r="C55" s="335" t="s">
        <v>28</v>
      </c>
      <c r="D55" s="322">
        <f t="shared" ref="D55:AC55" si="0">MIN(MAX(0,D56),MAX(0,D57))</f>
        <v>11641</v>
      </c>
      <c r="E55" s="323">
        <f t="shared" si="0"/>
        <v>11640.85</v>
      </c>
      <c r="F55" s="323">
        <f t="shared" si="0"/>
        <v>0</v>
      </c>
      <c r="G55" s="323">
        <f t="shared" si="0"/>
        <v>0</v>
      </c>
      <c r="H55" s="323">
        <f t="shared" si="0"/>
        <v>0</v>
      </c>
      <c r="I55" s="322">
        <f t="shared" si="0"/>
        <v>0</v>
      </c>
      <c r="J55" s="322">
        <f t="shared" si="0"/>
        <v>17520</v>
      </c>
      <c r="K55" s="323">
        <f t="shared" si="0"/>
        <v>666.38</v>
      </c>
      <c r="L55" s="323">
        <f t="shared" si="0"/>
        <v>0</v>
      </c>
      <c r="M55" s="323">
        <f t="shared" si="0"/>
        <v>0</v>
      </c>
      <c r="N55" s="323">
        <f t="shared" si="0"/>
        <v>0</v>
      </c>
      <c r="O55" s="322">
        <f t="shared" si="0"/>
        <v>0</v>
      </c>
      <c r="P55" s="322">
        <f t="shared" si="0"/>
        <v>9768.5300000000007</v>
      </c>
      <c r="Q55" s="323">
        <f t="shared" si="0"/>
        <v>264.82</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24474.16</v>
      </c>
      <c r="E56" s="319">
        <v>24474.16</v>
      </c>
      <c r="F56" s="319"/>
      <c r="G56" s="319"/>
      <c r="H56" s="319"/>
      <c r="I56" s="318"/>
      <c r="J56" s="318">
        <v>22868.06</v>
      </c>
      <c r="K56" s="319">
        <v>3742</v>
      </c>
      <c r="L56" s="319"/>
      <c r="M56" s="319"/>
      <c r="N56" s="319"/>
      <c r="O56" s="318"/>
      <c r="P56" s="318">
        <v>9768.5300000000007</v>
      </c>
      <c r="Q56" s="319">
        <v>264.82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11641</v>
      </c>
      <c r="E57" s="319">
        <v>11640.85</v>
      </c>
      <c r="F57" s="319"/>
      <c r="G57" s="319"/>
      <c r="H57" s="319"/>
      <c r="I57" s="318"/>
      <c r="J57" s="318">
        <v>17520</v>
      </c>
      <c r="K57" s="319">
        <v>666.38</v>
      </c>
      <c r="L57" s="319"/>
      <c r="M57" s="319"/>
      <c r="N57" s="319"/>
      <c r="O57" s="318"/>
      <c r="P57" s="318">
        <v>11537</v>
      </c>
      <c r="Q57" s="319">
        <v>1709.43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239251</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6843614.0999999996</v>
      </c>
      <c r="D5" s="403">
        <v>10657904.42</v>
      </c>
      <c r="E5" s="454"/>
      <c r="F5" s="454"/>
      <c r="G5" s="448"/>
      <c r="H5" s="402">
        <v>2141901.5699999998</v>
      </c>
      <c r="I5" s="403">
        <v>1507600.8</v>
      </c>
      <c r="J5" s="454"/>
      <c r="K5" s="454"/>
      <c r="L5" s="448"/>
      <c r="M5" s="402">
        <v>538547.75</v>
      </c>
      <c r="N5" s="403">
        <v>160655.56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6831097.9683999997</v>
      </c>
      <c r="D6" s="398">
        <v>10511652.970100001</v>
      </c>
      <c r="E6" s="400">
        <f>SUM('Pt 1 Summary of Data'!E$12,'Pt 1 Summary of Data'!E$22)+SUM('Pt 1 Summary of Data'!G$12,'Pt 1 Summary of Data'!G$22)-SUM('Pt 1 Summary of Data'!H$12,'Pt 1 Summary of Data'!H$22)</f>
        <v>20554571.759100001</v>
      </c>
      <c r="F6" s="400">
        <f t="shared" ref="F6:F11" si="0">SUM(C6:E6)</f>
        <v>37897322.697600007</v>
      </c>
      <c r="G6" s="401">
        <f>SUM('Pt 1 Summary of Data'!I$12,'Pt 1 Summary of Data'!I$22)</f>
        <v>0</v>
      </c>
      <c r="H6" s="397">
        <v>2138076.5286627482</v>
      </c>
      <c r="I6" s="398">
        <v>1488861.7815858813</v>
      </c>
      <c r="J6" s="400">
        <f>SUM('Pt 1 Summary of Data'!K$12,'Pt 1 Summary of Data'!K$22)+SUM('Pt 1 Summary of Data'!M$12,'Pt 1 Summary of Data'!M$22)-SUM('Pt 1 Summary of Data'!N$12,'Pt 1 Summary of Data'!N$22)</f>
        <v>1381166.3727006398</v>
      </c>
      <c r="K6" s="400">
        <f>SUM(H6:J6)</f>
        <v>5008104.6829492692</v>
      </c>
      <c r="L6" s="401">
        <f>SUM('Pt 1 Summary of Data'!O$12,'Pt 1 Summary of Data'!O$22)</f>
        <v>0</v>
      </c>
      <c r="M6" s="397">
        <v>539902.84788682824</v>
      </c>
      <c r="N6" s="398">
        <v>159506.63893013919</v>
      </c>
      <c r="O6" s="400">
        <f>SUM('Pt 1 Summary of Data'!Q$12,'Pt 1 Summary of Data'!Q$22)+SUM('Pt 1 Summary of Data'!S$12,'Pt 1 Summary of Data'!S$22)-SUM('Pt 1 Summary of Data'!T$12,'Pt 1 Summary of Data'!T$22)</f>
        <v>160875.638472066</v>
      </c>
      <c r="P6" s="400">
        <f>SUM(M6:O6)</f>
        <v>860285.1252890334</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165752.93</v>
      </c>
      <c r="D7" s="398">
        <v>153255.32999999999</v>
      </c>
      <c r="E7" s="400">
        <f>SUM('Pt 1 Summary of Data'!E$37:E$41)+SUM('Pt 1 Summary of Data'!G$37:G$41)-SUM('Pt 1 Summary of Data'!H$37:H$41)+MAX(0,MIN('Pt 1 Summary of Data'!E$42+'Pt 1 Summary of Data'!G$42-'Pt 1 Summary of Data'!H$42,0.3%*('Pt 1 Summary of Data'!E$5+'Pt 1 Summary of Data'!G$5-'Pt 1 Summary of Data'!H$5-SUM(E$9:E$11))))</f>
        <v>470122.98</v>
      </c>
      <c r="F7" s="400">
        <f t="shared" si="0"/>
        <v>789131.24</v>
      </c>
      <c r="G7" s="401">
        <f>SUM('Pt 1 Summary of Data'!I$37:I$41)+MAX(0,MIN(VALUE('Pt 1 Summary of Data'!I$42),0.3%*('Pt 1 Summary of Data'!I$5-SUM(G$9:G$10))))</f>
        <v>0</v>
      </c>
      <c r="H7" s="397">
        <v>85970.79</v>
      </c>
      <c r="I7" s="398">
        <v>61872.49</v>
      </c>
      <c r="J7" s="400">
        <f>SUM('Pt 1 Summary of Data'!K$37:K$41)+SUM('Pt 1 Summary of Data'!M$37:M$41)-SUM('Pt 1 Summary of Data'!N$37:N$41)+MAX(0,MIN('Pt 1 Summary of Data'!K$42+'Pt 1 Summary of Data'!M$42-'Pt 1 Summary of Data'!N$42,0.3%*('Pt 1 Summary of Data'!K$5+'Pt 1 Summary of Data'!M$5-'Pt 1 Summary of Data'!N$5-SUM(J$10:J$11))))</f>
        <v>64399.640000000007</v>
      </c>
      <c r="K7" s="400">
        <f>SUM(H7:J7)</f>
        <v>212242.92</v>
      </c>
      <c r="L7" s="401">
        <f>SUM('Pt 1 Summary of Data'!O$37:O$41)+MAX(0,MIN(VALUE('Pt 1 Summary of Data'!O$42),0.3%*('Pt 1 Summary of Data'!O$5-L$10)))</f>
        <v>0</v>
      </c>
      <c r="M7" s="397">
        <v>13785.25</v>
      </c>
      <c r="N7" s="398">
        <v>4673.1400000000003</v>
      </c>
      <c r="O7" s="400">
        <f>SUM('Pt 1 Summary of Data'!Q$37:Q$41)+SUM('Pt 1 Summary of Data'!S$37:S$41)-SUM('Pt 1 Summary of Data'!T$37:T$41)+MAX(0,MIN('Pt 1 Summary of Data'!Q$42+'Pt 1 Summary of Data'!S$42-'Pt 1 Summary of Data'!T$42,0.3%*('Pt 1 Summary of Data'!Q$5+'Pt 1 Summary of Data'!S$5-'Pt 1 Summary of Data'!T$5)))</f>
        <v>451629.32</v>
      </c>
      <c r="P7" s="400">
        <f>SUM(M7:O7)</f>
        <v>470087.71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1360718.31</v>
      </c>
      <c r="E9" s="400">
        <f>'Pt 2 Premium and Claims'!E$15+'Pt 2 Premium and Claims'!G$15-'Pt 2 Premium and Claims'!H$15</f>
        <v>2366363.09</v>
      </c>
      <c r="F9" s="400">
        <f t="shared" si="0"/>
        <v>3727081.4</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976968.6</v>
      </c>
      <c r="E10" s="400">
        <f>'Pt 2 Premium and Claims'!E$16+'Pt 2 Premium and Claims'!G$16-'Pt 2 Premium and Claims'!H$16</f>
        <v>1602746.25</v>
      </c>
      <c r="F10" s="400">
        <f t="shared" si="0"/>
        <v>2579714.85</v>
      </c>
      <c r="G10" s="401">
        <f>'Pt 2 Premium and Claims'!I$16</f>
        <v>0</v>
      </c>
      <c r="H10" s="443"/>
      <c r="I10" s="398">
        <v>-210554.64</v>
      </c>
      <c r="J10" s="400">
        <f>'Pt 2 Premium and Claims'!K$16+'Pt 2 Premium and Claims'!M$16-'Pt 2 Premium and Claims'!N$16</f>
        <v>-114966.92</v>
      </c>
      <c r="K10" s="400">
        <f>SUM(H10:J10)</f>
        <v>-325521.56</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6996850.8983999994</v>
      </c>
      <c r="D12" s="400">
        <f>SUM(D$6:D$7) - SUM(D$8:D$11)+IF(AND(OR('Company Information'!$C$12="District of Columbia",'Company Information'!$C$12="Massachusetts",'Company Information'!$C$12="Vermont"),SUM($C$6:$F$11,$C$15:$F$16,$C$38:$D$38)&lt;&gt;0),SUM(I$6:I$7) - SUM(I$10:I$11),0)</f>
        <v>8327221.3901000004</v>
      </c>
      <c r="E12" s="400">
        <f>SUM(E$6:E$7)-SUM(E$8:E$11)+IF(AND(OR('Company Information'!$C$12="District of Columbia",'Company Information'!$C$12="Massachusetts",'Company Information'!$C$12="Vermont"),SUM($C$6:$F$11,$C$15:$F$16,$C$38:$D$38)&lt;&gt;0),SUM(J$6:J$7)-SUM(J$10:J$11),0)</f>
        <v>17055585.399100002</v>
      </c>
      <c r="F12" s="400">
        <f>IFERROR(SUM(C$12:E$12)+C$17*MAX(0,E$50-C$50)+D$17*MAX(0,E$50-D$50),0)</f>
        <v>32379657.687600002</v>
      </c>
      <c r="G12" s="447"/>
      <c r="H12" s="399">
        <f>SUM(H$6:H$7)+IF(AND(OR('Company Information'!$C$12="District of Columbia",'Company Information'!$C$12="Massachusetts",'Company Information'!$C$12="Vermont"),SUM($H$6:$K$11,$H$15:$K$16,$H$38:$I$38)&lt;&gt;0),SUM(C$6:C$7),0)</f>
        <v>2224047.3186627482</v>
      </c>
      <c r="I12" s="400">
        <f>SUM(I$6:I$7) - SUM(I$10:I$11)+IF(AND(OR('Company Information'!$C$12="District of Columbia",'Company Information'!$C$12="Massachusetts",'Company Information'!$C$12="Vermont"),SUM($H$6:$K$11,$H$15:$K$16,$H$38:$I$38)&lt;&gt;0),SUM(D$6:D$7) - SUM(D$8:D$11),0)</f>
        <v>1761288.9115858814</v>
      </c>
      <c r="J12" s="400">
        <f>SUM(J$6:J$7)-SUM(J$10:J$11)+IF(AND(OR('Company Information'!$C$12="District of Columbia",'Company Information'!$C$12="Massachusetts",'Company Information'!$C$12="Vermont"),SUM($H$6:$K$11,$H$15:$K$16,$H$38:$I$38)&lt;&gt;0),SUM(E$6:E$7)-SUM(E$8:E$11),0)</f>
        <v>1560532.9327006396</v>
      </c>
      <c r="K12" s="400">
        <f>IFERROR(SUM(H$12:J$12)+H$17*MAX(0,J$50-H$50)+I$17*MAX(0,J$50-I$50),0)</f>
        <v>5545869.1629492696</v>
      </c>
      <c r="L12" s="447"/>
      <c r="M12" s="399">
        <f>SUM(M$6:M$7)</f>
        <v>553688.09788682824</v>
      </c>
      <c r="N12" s="400">
        <f>SUM(N$6:N$7)</f>
        <v>164179.7789301392</v>
      </c>
      <c r="O12" s="400">
        <f>SUM(O$6:O$7)</f>
        <v>612504.95847206598</v>
      </c>
      <c r="P12" s="400">
        <f>SUM(M$12:O$12)+M$17*MAX(0,O$50-M$50)+N$17*MAX(0,O$50-N$50)</f>
        <v>1330372.8352890336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8386341.5800000001</v>
      </c>
      <c r="D15" s="403">
        <v>11378250.130000001</v>
      </c>
      <c r="E15" s="395">
        <f>SUM('Pt 1 Summary of Data'!E$5:E$7)+SUM('Pt 1 Summary of Data'!G$5:G$7)-SUM('Pt 1 Summary of Data'!H$5:H$7)-SUM(E$9:E$11)</f>
        <v>15292738.75</v>
      </c>
      <c r="F15" s="395">
        <f>SUM(C15:E15)</f>
        <v>35057330.460000001</v>
      </c>
      <c r="G15" s="396">
        <f>SUM('Pt 1 Summary of Data'!I$5:I$7)-SUM(G$9:G$10)</f>
        <v>0</v>
      </c>
      <c r="H15" s="402">
        <v>3860657.69</v>
      </c>
      <c r="I15" s="403">
        <v>3205080.28</v>
      </c>
      <c r="J15" s="395">
        <f>SUM('Pt 1 Summary of Data'!K$5:K$7)+SUM('Pt 1 Summary of Data'!M$5:M$7)-SUM('Pt 1 Summary of Data'!N$5:N$7)-SUM(J$10:J$11)</f>
        <v>3085353.24</v>
      </c>
      <c r="K15" s="395">
        <f>SUM(H15:J15)</f>
        <v>10151091.210000001</v>
      </c>
      <c r="L15" s="396">
        <f>SUM('Pt 1 Summary of Data'!O$5:O$7)-L$10</f>
        <v>0</v>
      </c>
      <c r="M15" s="402">
        <v>658026.06000000006</v>
      </c>
      <c r="N15" s="403">
        <v>286618.19</v>
      </c>
      <c r="O15" s="395">
        <f>SUM('Pt 1 Summary of Data'!Q$5:Q$7)+SUM('Pt 1 Summary of Data'!S$5:S$7)-SUM('Pt 1 Summary of Data'!T$5:T$7)+N$56</f>
        <v>194007.28</v>
      </c>
      <c r="P15" s="395">
        <f>SUM(M15:O15)</f>
        <v>1138651.53</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10866.77</v>
      </c>
      <c r="D16" s="398">
        <v>621182.06000000006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-744080.83267848159</v>
      </c>
      <c r="F16" s="400">
        <f>SUM(C16:E16)</f>
        <v>-112032.00267848151</v>
      </c>
      <c r="G16" s="401">
        <f>SUM('Pt 1 Summary of Data'!I$25:I$28,'Pt 1 Summary of Data'!I$30,'Pt 1 Summary of Data'!I$34:I$35)+IF('Company Information'!$C$15="No",IF(MAX('Pt 1 Summary of Data'!I$31:I$32)=0,MIN('Pt 1 Summary of Data'!I$31:I$32),MAX('Pt 1 Summary of Data'!I$31:I$32)),SUM('Pt 1 Summary of Data'!I$31:I$32))</f>
        <v>0</v>
      </c>
      <c r="H16" s="397">
        <v>454090.43</v>
      </c>
      <c r="I16" s="398">
        <v>413402.18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352127.04967561259</v>
      </c>
      <c r="K16" s="400">
        <f>SUM(H16:J16)</f>
        <v>1219619.6596756126</v>
      </c>
      <c r="L16" s="401">
        <f>SUM('Pt 1 Summary of Data'!O$25:O$28,'Pt 1 Summary of Data'!O$30,'Pt 1 Summary of Data'!O$34:O$35)+IF('Company Information'!$C$15="No",IF(MAX('Pt 1 Summary of Data'!O$31:O$32)=0,MIN('Pt 1 Summary of Data'!O$31:O$32),MAX('Pt 1 Summary of Data'!O$31:O$32)),SUM('Pt 1 Summary of Data'!O$31:O$32))</f>
        <v>0</v>
      </c>
      <c r="M16" s="397">
        <v>-2796.87</v>
      </c>
      <c r="N16" s="398">
        <v>-23367.02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-171933.12307089136</v>
      </c>
      <c r="P16" s="400">
        <f>SUM(M16:O16)</f>
        <v>-198097.01307089138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8375474.8100000005</v>
      </c>
      <c r="D17" s="400">
        <f>D$15-D$16+IF(AND(OR('Company Information'!$C$12="District of Columbia",'Company Information'!$C$12="Massachusetts",'Company Information'!$C$12="Vermont"),SUM($C$6:$F$11,$C$15:$F$16,$C$38:$D$38)&lt;&gt;0),I$15-I$16,0)</f>
        <v>10757068.07</v>
      </c>
      <c r="E17" s="400">
        <f>E$15-E$16+IF(AND(OR('Company Information'!$C$12="District of Columbia",'Company Information'!$C$12="Massachusetts",'Company Information'!$C$12="Vermont"),SUM($C$6:$F$11,$C$15:$F$16,$C$38:$D$38)&lt;&gt;0),J$15-J$16,0)</f>
        <v>16036819.582678482</v>
      </c>
      <c r="F17" s="400">
        <f>F$15-F$16+IF(AND(OR('Company Information'!$C$12="District of Columbia",'Company Information'!$C$12="Massachusetts",'Company Information'!$C$12="Vermont"),SUM($C$6:$F$11,$C$15:$F$16,$C$38:$D$38)&lt;&gt;0),K$15-K$16,0)</f>
        <v>35169362.462678485</v>
      </c>
      <c r="G17" s="450"/>
      <c r="H17" s="399">
        <f>H$15-H$16+IF(AND(OR('Company Information'!$C$12="District of Columbia",'Company Information'!$C$12="Massachusetts",'Company Information'!$C$12="Vermont"),SUM($H$6:$K$11,$H$15:$K$16,$H$38:$I$38)&lt;&gt;0),C$15-C$16,0)</f>
        <v>3406567.26</v>
      </c>
      <c r="I17" s="400">
        <f>I$15-I$16+IF(AND(OR('Company Information'!$C$12="District of Columbia",'Company Information'!$C$12="Massachusetts",'Company Information'!$C$12="Vermont"),SUM($H$6:$K$11,$H$15:$K$16,$H$38:$I$38)&lt;&gt;0),D$15-D$16,0)</f>
        <v>2791678.0999999996</v>
      </c>
      <c r="J17" s="400">
        <f>J$15-J$16+IF(AND(OR('Company Information'!$C$12="District of Columbia",'Company Information'!$C$12="Massachusetts",'Company Information'!$C$12="Vermont"),SUM($H$6:$K$11,$H$15:$K$16,$H$38:$I$38)&lt;&gt;0),E$15-E$16,0)</f>
        <v>2733226.1903243875</v>
      </c>
      <c r="K17" s="400">
        <f>K$15-K$16+IF(AND(OR('Company Information'!$C$12="District of Columbia",'Company Information'!$C$12="Massachusetts",'Company Information'!$C$12="Vermont"),SUM($H$6:$K$11,$H$15:$K$16,$H$38:$I$38)&lt;&gt;0),F$15-F$16,0)</f>
        <v>8931471.5503243878</v>
      </c>
      <c r="L17" s="450"/>
      <c r="M17" s="399">
        <f>M$15-M$16</f>
        <v>660822.93000000005</v>
      </c>
      <c r="N17" s="400">
        <f>N$15-N$16</f>
        <v>309985.21000000002</v>
      </c>
      <c r="O17" s="400">
        <f>O$15-O$16</f>
        <v>365940.40307089139</v>
      </c>
      <c r="P17" s="400">
        <f>P$15-P$16</f>
        <v>1336748.5430708914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3335</v>
      </c>
      <c r="D38" s="405">
        <v>3764.5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4240.25</v>
      </c>
      <c r="F38" s="432">
        <f>SUM(C$38:E$38)+IF(AND(OR('Company Information'!$C$12="District of Columbia",'Company Information'!$C$12="Massachusetts",'Company Information'!$C$12="Vermont"),SUM($C$6:$F$11,$C$15:$F$16,$C$38:$D$38)&lt;&gt;0,SUM(C$38:D$38)&lt;&gt;SUM(H$38:I$38)),SUM(H$38:I$38),0)</f>
        <v>11339.75</v>
      </c>
      <c r="G38" s="448"/>
      <c r="H38" s="404">
        <v>801</v>
      </c>
      <c r="I38" s="405">
        <v>571.75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547.16666666666663</v>
      </c>
      <c r="K38" s="432">
        <f>SUM(H$38:J$38)+IF(AND(OR('Company Information'!$C$12="District of Columbia",'Company Information'!$C$12="Massachusetts",'Company Information'!$C$12="Vermont"),SUM($H$6:$K$11,$H$15:$K$16,$H$38:$I$38)&lt;&gt;0,SUM(H$38:I$38)&lt;&gt;SUM(C$38:D$38)),SUM(C$38:D$38),0)</f>
        <v>1919.9166666666665</v>
      </c>
      <c r="L38" s="448"/>
      <c r="M38" s="404">
        <v>160</v>
      </c>
      <c r="N38" s="405">
        <v>57.5</v>
      </c>
      <c r="O38" s="432">
        <f>('Pt 1 Summary of Data'!Q$59+'Pt 1 Summary of Data'!S$59-'Pt 1 Summary of Data'!T$59)/12</f>
        <v>40.416666666666664</v>
      </c>
      <c r="P38" s="432">
        <f>SUM(M$38:O$38)</f>
        <v>257.91666666666669</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2.5106833333333332E-2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6.3988388888888886E-2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4661</v>
      </c>
      <c r="G40" s="447"/>
      <c r="H40" s="443"/>
      <c r="I40" s="441"/>
      <c r="J40" s="441"/>
      <c r="K40" s="398">
        <v>2159</v>
      </c>
      <c r="L40" s="447"/>
      <c r="M40" s="443"/>
      <c r="N40" s="441"/>
      <c r="O40" s="441"/>
      <c r="P40" s="398">
        <v>1991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1.3697271999999998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3.4389512522533326E-2</v>
      </c>
      <c r="G42" s="447"/>
      <c r="H42" s="443"/>
      <c r="I42" s="441"/>
      <c r="J42" s="441"/>
      <c r="K42" s="436">
        <f ca="1">IF(OR(K$38&lt;1000,K$38&gt;=75000),0,K$39*K$41)</f>
        <v>6.3988388888888886E-2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0.83539752158839087</v>
      </c>
      <c r="D45" s="436">
        <f>IF(OR(D$38&lt;1000,D$17&lt;=0),"",D$12/D$17)</f>
        <v>0.77411626810501355</v>
      </c>
      <c r="E45" s="436">
        <f>IF(OR(E$38&lt;1000,E$17&lt;=0),"",E$12/E$17)</f>
        <v>1.0635266744237679</v>
      </c>
      <c r="F45" s="436">
        <f>IF(OR(F$38&lt;1000,F$17&lt;=0),"",F$12/F$17)</f>
        <v>0.92067798277438495</v>
      </c>
      <c r="G45" s="447"/>
      <c r="H45" s="438" t="str">
        <f>IF(OR(H$38&lt;1000,H$17&lt;=0),"",H$12/H$17)</f>
        <v/>
      </c>
      <c r="I45" s="436" t="str">
        <f>IF(OR(I$38&lt;1000,I$17&lt;=0),"",I$12/I$17)</f>
        <v/>
      </c>
      <c r="J45" s="436" t="str">
        <f>IF(OR(J$38&lt;1000,J$17&lt;=0),"",J$12/J$17)</f>
        <v/>
      </c>
      <c r="K45" s="436">
        <f>IF(OR(K$38&lt;1000,K$17&lt;=0),"",K$12/K$17)</f>
        <v>0.62093565788135385</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3.4389512522533326E-2</v>
      </c>
      <c r="G47" s="447"/>
      <c r="H47" s="443"/>
      <c r="I47" s="441"/>
      <c r="J47" s="441"/>
      <c r="K47" s="436">
        <f ca="1">IF(K$45="","",K$42)</f>
        <v>6.3988388888888886E-2</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0.95499999999999996</v>
      </c>
      <c r="G48" s="447"/>
      <c r="H48" s="443"/>
      <c r="I48" s="441"/>
      <c r="J48" s="441"/>
      <c r="K48" s="436">
        <f ca="1">IF(K$45="","",ROUND(K$45+MAX(0,K$47),3))</f>
        <v>0.68500000000000005</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0.95499999999999996</v>
      </c>
      <c r="G51" s="447"/>
      <c r="H51" s="444"/>
      <c r="I51" s="442"/>
      <c r="J51" s="442"/>
      <c r="K51" s="436">
        <f ca="1">K$48</f>
        <v>0.68500000000000005</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16036819.582678482</v>
      </c>
      <c r="G52" s="447"/>
      <c r="H52" s="443"/>
      <c r="I52" s="441"/>
      <c r="J52" s="441"/>
      <c r="K52" s="400">
        <f>IF(K$38&lt;1000,"",MAX(0,J$15-J$16))</f>
        <v>2733226.1903243875</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314321.01188730454</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81248.262499999997</v>
      </c>
      <c r="D56" s="441"/>
      <c r="E56" s="441"/>
      <c r="F56" s="441"/>
      <c r="G56" s="447"/>
      <c r="H56" s="397">
        <v>17527.282320400001</v>
      </c>
      <c r="I56" s="441"/>
      <c r="J56" s="441"/>
      <c r="K56" s="441"/>
      <c r="L56" s="447"/>
      <c r="M56" s="397">
        <v>2919.8427310000002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105.2284731</v>
      </c>
      <c r="D57" s="441"/>
      <c r="E57" s="441"/>
      <c r="F57" s="441"/>
      <c r="G57" s="447"/>
      <c r="H57" s="397">
        <v>2060.6088199999999</v>
      </c>
      <c r="I57" s="441"/>
      <c r="J57" s="441"/>
      <c r="K57" s="441"/>
      <c r="L57" s="447"/>
      <c r="M57" s="397">
        <v>-12.40488977</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2238</v>
      </c>
      <c r="D4" s="104">
        <f>'Pt 1 Summary of Data'!$K$56+'Pt 1 Summary of Data'!$M$56-'Pt 1 Summary of Data'!$N$56</f>
        <v>251</v>
      </c>
      <c r="E4" s="104">
        <f>'Pt 1 Summary of Data'!$Q$56+'Pt 1 Summary of Data'!$S$56-'Pt 1 Summary of Data'!$T$56</f>
        <v>12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50</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314321.01188730454</v>
      </c>
      <c r="E11" s="97">
        <f>'Pt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314321.01</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214959.21</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5176.8999999999996</v>
      </c>
      <c r="E22" s="127"/>
      <c r="F22" s="127"/>
      <c r="G22" s="127"/>
      <c r="H22" s="127"/>
      <c r="I22" s="181"/>
      <c r="J22" s="181"/>
      <c r="K22" s="200"/>
    </row>
    <row r="23" spans="2:12" s="5" customFormat="1" ht="100.15" customHeight="1" x14ac:dyDescent="0.2">
      <c r="B23" s="91" t="s">
        <v>212</v>
      </c>
      <c r="C23" s="483" t="s">
        <v>512</v>
      </c>
      <c r="D23" s="484"/>
      <c r="E23" s="484"/>
      <c r="F23" s="484"/>
      <c r="G23" s="484"/>
      <c r="H23" s="484"/>
      <c r="I23" s="484"/>
      <c r="J23" s="484"/>
      <c r="K23" s="485"/>
    </row>
    <row r="24" spans="2:12" s="5" customFormat="1" ht="100.15" customHeight="1" x14ac:dyDescent="0.2">
      <c r="B24" s="90" t="s">
        <v>213</v>
      </c>
      <c r="C24" s="486" t="s">
        <v>513</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