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B55" i="18"/>
  <c r="AB22" i="4" s="1"/>
  <c r="AA55" i="18"/>
  <c r="Z55" i="18"/>
  <c r="Y55" i="18"/>
  <c r="X55" i="18"/>
  <c r="W55" i="18"/>
  <c r="V55" i="18"/>
  <c r="V22" i="4" s="1"/>
  <c r="U55" i="18"/>
  <c r="U22" i="4" s="1"/>
  <c r="T55" i="18"/>
  <c r="S55" i="18"/>
  <c r="S22" i="4" s="1"/>
  <c r="R55" i="18"/>
  <c r="Q55" i="18"/>
  <c r="P55" i="18"/>
  <c r="O55" i="18"/>
  <c r="N55" i="18"/>
  <c r="M55" i="18"/>
  <c r="L55" i="18"/>
  <c r="K55" i="18"/>
  <c r="J55" i="18"/>
  <c r="I55" i="18"/>
  <c r="H55" i="18"/>
  <c r="G55" i="18"/>
  <c r="F55" i="18"/>
  <c r="E55" i="18"/>
  <c r="D55" i="18"/>
  <c r="D22" i="4" s="1"/>
  <c r="AU54" i="18"/>
  <c r="AT54" i="18"/>
  <c r="AS54" i="18"/>
  <c r="AS12" i="4" s="1"/>
  <c r="AC54" i="18"/>
  <c r="AB54" i="18"/>
  <c r="AA54" i="18"/>
  <c r="Z54" i="18"/>
  <c r="Z12" i="4" s="1"/>
  <c r="Y54" i="18"/>
  <c r="X54" i="18"/>
  <c r="W54" i="18"/>
  <c r="V54" i="18"/>
  <c r="U54" i="18"/>
  <c r="T54" i="18"/>
  <c r="S54" i="18"/>
  <c r="R54" i="18"/>
  <c r="Q54" i="18"/>
  <c r="P54" i="18"/>
  <c r="O54" i="18"/>
  <c r="N54" i="18"/>
  <c r="M54" i="18"/>
  <c r="L54" i="18"/>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AA22" i="4"/>
  <c r="Z22" i="4"/>
  <c r="Y22" i="4"/>
  <c r="X22" i="4"/>
  <c r="W22" i="4"/>
  <c r="T22" i="4"/>
  <c r="R22" i="4"/>
  <c r="Q22" i="4"/>
  <c r="P22" i="4"/>
  <c r="O22" i="4"/>
  <c r="N22" i="4"/>
  <c r="M22" i="4"/>
  <c r="L22" i="4"/>
  <c r="K22" i="4"/>
  <c r="J22" i="4"/>
  <c r="I22" i="4"/>
  <c r="H22" i="4"/>
  <c r="G22" i="4"/>
  <c r="F22" i="4"/>
  <c r="E22" i="4"/>
  <c r="AU12" i="4"/>
  <c r="AT12" i="4"/>
  <c r="AC12" i="4"/>
  <c r="AB12" i="4"/>
  <c r="AA12" i="4"/>
  <c r="Y12" i="4"/>
  <c r="X12" i="4"/>
  <c r="W12" i="4"/>
  <c r="V12" i="4"/>
  <c r="U12" i="4"/>
  <c r="T12" i="4"/>
  <c r="S12" i="4"/>
  <c r="R12" i="4"/>
  <c r="Q12" i="4"/>
  <c r="P12" i="4"/>
  <c r="O12" i="4"/>
  <c r="N12" i="4"/>
  <c r="M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7" i="10" s="1"/>
  <c r="D5" i="4"/>
  <c r="J15" i="10" l="1"/>
  <c r="L30" i="10"/>
  <c r="L31" i="10" s="1"/>
  <c r="K15" i="10"/>
  <c r="F7" i="10"/>
  <c r="J7" i="10"/>
  <c r="E15" i="10"/>
  <c r="G15" i="10"/>
  <c r="G20" i="10" s="1"/>
  <c r="P47" i="10"/>
  <c r="L29" i="10"/>
  <c r="L33" i="10" s="1"/>
  <c r="L34" i="10" s="1"/>
  <c r="AB39" i="10"/>
  <c r="X39" i="10"/>
  <c r="P39" i="10"/>
  <c r="L21" i="10"/>
  <c r="L26" i="10" s="1"/>
  <c r="L25" i="10" s="1"/>
  <c r="L28" i="10" s="1"/>
  <c r="X13" i="10"/>
  <c r="T13" i="10"/>
  <c r="G27" i="10" l="1"/>
  <c r="G32" i="10"/>
  <c r="G23" i="10"/>
  <c r="G19" i="10"/>
  <c r="G22" i="10" s="1"/>
  <c r="G24" i="10"/>
  <c r="D12" i="10"/>
  <c r="K7" i="10"/>
  <c r="I12" i="10" s="1"/>
  <c r="H17" i="10"/>
  <c r="F15" i="10"/>
  <c r="E17" i="10"/>
  <c r="H45" i="10" l="1"/>
  <c r="F17" i="10"/>
  <c r="E38" i="10"/>
  <c r="K17" i="10"/>
  <c r="J12" i="10"/>
  <c r="J17" i="10"/>
  <c r="H12" i="10"/>
  <c r="I17" i="10"/>
  <c r="I45" i="10" s="1"/>
  <c r="C17" i="10"/>
  <c r="J38" i="10"/>
  <c r="C12" i="10"/>
  <c r="E12" i="10"/>
  <c r="D17" i="10"/>
  <c r="D45" i="10" s="1"/>
  <c r="G21" i="10"/>
  <c r="G26" i="10" s="1"/>
  <c r="G25" i="10" s="1"/>
  <c r="G28" i="10" s="1"/>
  <c r="G30" i="10"/>
  <c r="G31" i="10" s="1"/>
  <c r="G29" i="10" s="1"/>
  <c r="G33" i="10" s="1"/>
  <c r="G34" i="10" s="1"/>
  <c r="K38" i="10" l="1"/>
  <c r="J45" i="10"/>
  <c r="F38" i="10"/>
  <c r="E45" i="10"/>
  <c r="C45" i="10"/>
  <c r="F12" i="10"/>
  <c r="K12" i="10"/>
  <c r="F39" i="10" l="1"/>
  <c r="F42" i="10" s="1"/>
  <c r="F52" i="10"/>
  <c r="K42" i="10"/>
  <c r="K39" i="10"/>
  <c r="K52" i="10"/>
  <c r="K53" i="10"/>
  <c r="D11" i="16" s="1"/>
  <c r="K45" i="10"/>
  <c r="F45" i="10"/>
  <c r="K47" i="10" l="1"/>
  <c r="K48" i="10"/>
  <c r="K51" i="10" s="1"/>
  <c r="F47" i="10"/>
  <c r="F48" i="10" s="1"/>
  <c r="F51" i="10" s="1"/>
  <c r="F53" i="10" s="1"/>
  <c r="C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<sst xmlns="http://schemas.openxmlformats.org/spreadsheetml/2006/main" count="568" uniqueCount="507">
  <si>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</si>
  <si>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</si>
  <si>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</si>
  <si>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</si>
  <si>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</si>
  <si>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</si>
  <si>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</si>
  <si>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</si>
  <si>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</si>
  <si>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</si>
  <si>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</si>
  <si>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</si>
  <si>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</si>
  <si>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</si>
  <si>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</si>
  <si>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</si>
  <si>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</si>
  <si>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</si>
  <si>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</si>
  <si>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</si>
  <si>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</si>
  <si>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</si>
  <si>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</si>
  <si>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</si>
  <si>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</si>
  <si>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</si>
  <si>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</si>
  <si>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</si>
  <si>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</si>
  <si>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</si>
  <si>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</si>
  <si>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</si>
  <si>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</si>
  <si>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</si>
  <si>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</si>
  <si>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</si>
  <si>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</si>
  <si>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</si>
  <si>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</si>
  <si>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</si>
  <si>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</si>
  <si>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</si>
  <si>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</si>
  <si>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</si>
  <si>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</si>
  <si>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</si>
  <si>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</si>
  <si>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</si>
  <si>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</si>
  <si>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</si>
  <si>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</si>
  <si>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</si>
  <si>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</si>
  <si>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</si>
  <si>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</si>
  <si>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</si>
  <si>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</si>
  <si>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</si>
  <si>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</si>
  <si>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</si>
  <si>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</si>
  <si>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</si>
  <si>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</si>
  <si>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</si>
  <si>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</si>
  <si>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</si>
  <si>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</si>
  <si>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</si>
  <si>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</si>
  <si>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</si>
  <si>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</si>
  <si>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</si>
  <si>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</si>
  <si>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</si>
  <si>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</si>
  <si>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</si>
  <si>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</si>
  <si>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</si>
  <si>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</si>
  <si>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</si>
  <si>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</si>
  <si>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</si>
  <si>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</si>
  <si>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</si>
  <si>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</si>
  <si>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</si>
  <si>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</si>
  <si>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</si>
  <si>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</si>
  <si>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</si>
  <si>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</si>
  <si>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</si>
  <si>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</si>
  <si>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</si>
  <si>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</si>
  <si>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</si>
  <si>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</si>
  <si>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</si>
  <si>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</si>
  <si>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</si>
  <si>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</si>
  <si>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</si>
  <si>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</si>
  <si>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</si>
  <si>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</si>
  <si>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</si>
  <si>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</si>
  <si>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</si>
  <si>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</si>
  <si>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</si>
  <si>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</si>
  <si>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</si>
  <si>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</si>
  <si>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</si>
  <si>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</si>
  <si>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</si>
  <si>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</si>
  <si>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</si>
  <si>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</si>
  <si>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</si>
  <si>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</si>
  <si>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</si>
  <si>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</si>
  <si>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</si>
  <si>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</si>
  <si>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</si>
  <si>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</si>
  <si>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</si>
  <si>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</si>
  <si>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</si>
  <si>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</si>
  <si>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</si>
  <si>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</si>
  <si>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</si>
  <si>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</si>
  <si>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</si>
  <si>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</si>
  <si>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</si>
  <si>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</si>
  <si>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</si>
  <si>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</si>
  <si>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</si>
  <si>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</si>
  <si>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</si>
  <si>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</si>
  <si>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</si>
  <si>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</si>
  <si>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</si>
  <si>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</si>
  <si>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</si>
  <si>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</si>
  <si>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</si>
  <si>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</si>
  <si>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</si>
  <si>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</si>
  <si>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</si>
  <si>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</si>
  <si>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</si>
  <si>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</si>
  <si>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</si>
  <si>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</si>
  <si>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</si>
  <si>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</si>
  <si>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</si>
  <si>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</si>
  <si>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</si>
  <si>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</si>
  <si>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</si>
  <si>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</si>
  <si>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</si>
  <si>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</si>
  <si>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</si>
  <si>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</si>
  <si>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</si>
  <si>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</si>
  <si>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</si>
  <si>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</si>
  <si>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</si>
  <si>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</si>
  <si>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</si>
  <si>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</si>
  <si>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</si>
  <si>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</si>
  <si>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</si>
  <si>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</si>
  <si>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</si>
  <si>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</si>
  <si>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</si>
  <si>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</si>
  <si>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</si>
  <si>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</si>
  <si>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</si>
  <si>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</si>
  <si>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</si>
  <si>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</si>
  <si>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</si>
  <si>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</si>
  <si>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</si>
  <si>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</si>
  <si>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</si>
  <si>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</si>
  <si>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</si>
  <si>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</si>
  <si>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</si>
  <si>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</si>
  <si>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</si>
  <si>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</si>
  <si>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</si>
  <si>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</si>
  <si>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</si>
  <si>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</si>
  <si>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</si>
  <si>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</si>
  <si>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</si>
  <si>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</si>
  <si>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</si>
  <si>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</si>
  <si>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</si>
  <si>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</si>
  <si>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</si>
  <si>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</si>
  <si>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</si>
  <si>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</si>
  <si>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</si>
  <si>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</si>
  <si>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</si>
  <si>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</si>
  <si>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</si>
  <si>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</si>
  <si>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</si>
  <si>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</si>
  <si>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</si>
  <si>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</si>
  <si>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</si>
  <si>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</si>
  <si>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</si>
  <si>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</si>
  <si>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</si>
  <si>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</si>
  <si>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</si>
  <si>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</si>
  <si>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</si>
  <si>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</si>
  <si>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</si>
  <si>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</si>
  <si>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</si>
  <si>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</si>
  <si>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</si>
  <si>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</si>
  <si>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</si>
  <si>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</si>
  <si>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</si>
  <si>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</si>
  <si>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</si>
  <si>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</si>
  <si>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</si>
  <si>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</si>
  <si>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</si>
  <si>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</si>
  <si>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</si>
  <si>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</si>
  <si>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</si>
  <si>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</si>
  <si>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</si>
  <si>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</si>
  <si>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</si>
  <si>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</si>
  <si>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</si>
  <si>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</si>
  <si>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</si>
  <si>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</si>
  <si>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</si>
  <si>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</si>
  <si>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</si>
  <si>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</si>
  <si>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</si>
  <si>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</si>
  <si>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</si>
  <si>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</si>
  <si>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</si>
  <si>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</si>
  <si>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</si>
  <si>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</si>
  <si>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</si>
  <si>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</si>
  <si>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</si>
  <si>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</si>
  <si>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</si>
  <si>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</si>
  <si>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</si>
  <si>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</si>
  <si>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</si>
  <si>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</si>
  <si>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</si>
  <si>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</si>
  <si>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</si>
  <si>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</si>
  <si>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</si>
  <si>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</si>
  <si>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</si>
  <si>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</si>
  <si>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</si>
  <si>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</si>
  <si>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</si>
  <si>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</si>
  <si>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</si>
  <si>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</si>
  <si>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</si>
  <si>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</si>
  <si>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</si>
  <si>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</si>
  <si>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</si>
  <si>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</si>
  <si>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</si>
  <si>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</si>
  <si>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</si>
  <si>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</si>
  <si>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</si>
  <si>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</si>
  <si>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</si>
  <si>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</si>
  <si>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</si>
  <si>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</si>
  <si>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</si>
  <si>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</si>
  <si>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</si>
  <si>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</si>
  <si>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</si>
  <si>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</si>
  <si>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</si>
  <si>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</si>
  <si>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</si>
  <si>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</si>
  <si>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</si>
  <si>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</si>
  <si>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</si>
  <si>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</si>
  <si>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</si>
  <si>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</si>
  <si>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</si>
  <si>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</si>
  <si>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</si>
  <si>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</si>
  <si>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</si>
  <si>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</si>
  <si>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</si>
  <si>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</si>
  <si>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</si>
  <si>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</si>
  <si>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</si>
  <si>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</si>
  <si>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</si>
  <si>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</si>
  <si>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</si>
  <si>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</si>
  <si>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</si>
  <si>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</si>
  <si>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</si>
  <si>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</si>
  <si>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</si>
  <si>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</si>
  <si>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</si>
  <si>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</si>
  <si>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</si>
  <si>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</si>
  <si>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</si>
  <si>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</si>
  <si>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</si>
  <si>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</si>
  <si>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</si>
  <si>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</si>
  <si>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</si>
  <si>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</si>
  <si>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</si>
  <si>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</si>
  <si>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</si>
  <si>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</si>
  <si>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</si>
  <si>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</si>
  <si>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</si>
  <si>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</si>
  <si>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</si>
  <si>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</si>
  <si>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</si>
  <si>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</si>
  <si>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</si>
  <si>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</si>
  <si>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</si>
  <si>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</si>
  <si>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</si>
  <si>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</si>
  <si>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</si>
  <si>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</si>
  <si>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</si>
  <si>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</si>
  <si>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</si>
  <si>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</si>
  <si>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</si>
  <si>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</si>
  <si>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</si>
  <si>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</si>
  <si>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</si>
  <si>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</si>
  <si>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</si>
  <si>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</si>
  <si>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</si>
  <si>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</si>
  <si>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</si>
  <si>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</si>
  <si>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</si>
  <si>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</si>
  <si>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</si>
  <si>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</si>
  <si>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</si>
  <si>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</si>
  <si>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</si>
  <si>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</si>
  <si>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</si>
  <si>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</si>
  <si>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</si>
  <si>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</si>
  <si>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</si>
  <si>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</si>
  <si>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</si>
  <si>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</si>
  <si>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</si>
  <si>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</si>
  <si>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</si>
  <si>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</si>
  <si>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</si>
  <si>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</si>
  <si>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</si>
  <si>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</si>
  <si>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</si>
  <si>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</si>
  <si>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</si>
  <si>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</si>
  <si>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</si>
  <si>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</si>
  <si>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</si>
  <si>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</si>
  <si>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</si>
  <si>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</si>
  <si>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</si>
  <si>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</si>
  <si>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</si>
  <si>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</si>
  <si>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</si>
  <si>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</si>
  <si>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</si>
  <si>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</si>
  <si>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</si>
  <si>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</si>
  <si>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</si>
  <si>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</si>
  <si>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</si>
  <si>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</si>
  <si>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</si>
  <si>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</si>
  <si>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</si>
  <si>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</si>
  <si>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</si>
  <si>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</si>
  <si>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</si>
  <si>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</si>
  <si>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</si>
  <si>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</si>
  <si>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</si>
  <si>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</si>
  <si>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</si>
  <si>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</si>
  <si>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</si>
  <si>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</si>
  <si>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</si>
  <si>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</si>
  <si>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</si>
  <si>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</si>
  <si>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</si>
  <si>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</si>
  <si>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</si>
  <si>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</si>
  <si>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</si>
  <si>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</si>
  <si>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</si>
  <si>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</si>
  <si>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</si>
  <si>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</si>
  <si>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</si>
  <si>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</si>
  <si>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</si>
  <si>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</si>
  <si>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</si>
  <si>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</si>
  <si>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</si>
  <si>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</si>
  <si>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</si>
  <si>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</si>
  <si>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</si>
  <si>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</si>
  <si>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</si>
  <si>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</si>
  <si>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</si>
  <si>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</si>
  <si>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</si>
  <si>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</si>
  <si>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23468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</si>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</sst>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177</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734862</v>
      </c>
      <c r="E5" s="213">
        <f>SUM('Pt 2 Premium and Claims'!E$5,'Pt 2 Premium and Claims'!E$6,-'Pt 2 Premium and Claims'!E$7,-'Pt 2 Premium and Claims'!E$13,'Pt 2 Premium and Claims'!E$14:'Pt 2 Premium and Claims'!E$17)</f>
        <v>982478.34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451155</v>
      </c>
      <c r="K5" s="213">
        <f>SUM('Pt 2 Premium and Claims'!K$5,'Pt 2 Premium and Claims'!K$6,-'Pt 2 Premium and Claims'!K$7,-'Pt 2 Premium and Claims'!K$13,'Pt 2 Premium and Claims'!K$14,'Pt 2 Premium and Claims'!K$16:'Pt 2 Premium and Claims'!K$17)</f>
        <v>463070.35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11012045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-35</v>
      </c>
      <c r="E7" s="217">
        <v>-34.69</v>
      </c>
      <c r="F7" s="217"/>
      <c r="G7" s="217"/>
      <c r="H7" s="217"/>
      <c r="I7" s="216"/>
      <c r="J7" s="216">
        <v>0</v>
      </c>
      <c r="K7" s="217">
        <v>0.22</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-3603</v>
      </c>
      <c r="E8" s="268"/>
      <c r="F8" s="269"/>
      <c r="G8" s="269"/>
      <c r="H8" s="269"/>
      <c r="I8" s="272"/>
      <c r="J8" s="216">
        <v>-412</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-698639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169479</v>
      </c>
      <c r="E12" s="213">
        <f>'Pt 2 Premium and Claims'!E$54</f>
        <v>325591.7969999999</v>
      </c>
      <c r="F12" s="213">
        <f>'Pt 2 Premium and Claims'!F$54</f>
        <v>0</v>
      </c>
      <c r="G12" s="213">
        <f>'Pt 2 Premium and Claims'!G$54</f>
        <v>0</v>
      </c>
      <c r="H12" s="213">
        <f>'Pt 2 Premium and Claims'!H$54</f>
        <v>0</v>
      </c>
      <c r="I12" s="212">
        <f>'Pt 2 Premium and Claims'!I$54</f>
        <v>0</v>
      </c>
      <c r="J12" s="212">
        <f>'Pt 2 Premium and Claims'!J$54</f>
        <v>343928</v>
      </c>
      <c r="K12" s="213">
        <f>'Pt 2 Premium and Claims'!K$54</f>
        <v>331711.90539999999</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8109864</v>
      </c>
      <c r="AU12" s="214">
        <f>'Pt 2 Premium and Claims'!AU$54</f>
        <v>0</v>
      </c>
      <c r="AV12" s="291"/>
      <c r="AW12" s="296"/>
    </row>
    <row r="13" spans="1:49" ht="25.5" x14ac:dyDescent="0.2">
      <c r="B13" s="239" t="s">
        <v>230</v>
      </c>
      <c r="C13" s="203" t="s">
        <v>37</v>
      </c>
      <c r="D13" s="216">
        <v>186560</v>
      </c>
      <c r="E13" s="217">
        <v>187108.96</v>
      </c>
      <c r="F13" s="217"/>
      <c r="G13" s="268"/>
      <c r="H13" s="269"/>
      <c r="I13" s="216"/>
      <c r="J13" s="216">
        <v>59982</v>
      </c>
      <c r="K13" s="217">
        <v>60728.17</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17471</v>
      </c>
      <c r="AU13" s="220">
        <v>0</v>
      </c>
      <c r="AV13" s="290"/>
      <c r="AW13" s="297"/>
    </row>
    <row r="14" spans="1:49" ht="25.5" x14ac:dyDescent="0.2">
      <c r="B14" s="239" t="s">
        <v>231</v>
      </c>
      <c r="C14" s="203" t="s">
        <v>6</v>
      </c>
      <c r="D14" s="216">
        <v>13709</v>
      </c>
      <c r="E14" s="217">
        <v>13447.89</v>
      </c>
      <c r="F14" s="217"/>
      <c r="G14" s="267"/>
      <c r="H14" s="270"/>
      <c r="I14" s="216"/>
      <c r="J14" s="216">
        <v>4918</v>
      </c>
      <c r="K14" s="217">
        <v>4465.58</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-13</v>
      </c>
      <c r="AU14" s="220">
        <v>0</v>
      </c>
      <c r="AV14" s="290"/>
      <c r="AW14" s="297"/>
    </row>
    <row r="15" spans="1:49" ht="38.25" x14ac:dyDescent="0.2">
      <c r="B15" s="239" t="s">
        <v>232</v>
      </c>
      <c r="C15" s="203" t="s">
        <v>7</v>
      </c>
      <c r="D15" s="216">
        <v>4</v>
      </c>
      <c r="E15" s="217">
        <v>3.59</v>
      </c>
      <c r="F15" s="217"/>
      <c r="G15" s="267"/>
      <c r="H15" s="273"/>
      <c r="I15" s="216"/>
      <c r="J15" s="216">
        <v>0</v>
      </c>
      <c r="K15" s="217">
        <v>0.17</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35</v>
      </c>
      <c r="AU15" s="220">
        <v>0</v>
      </c>
      <c r="AV15" s="290"/>
      <c r="AW15" s="297"/>
    </row>
    <row r="16" spans="1:49" ht="25.5" x14ac:dyDescent="0.2">
      <c r="B16" s="239" t="s">
        <v>233</v>
      </c>
      <c r="C16" s="203" t="s">
        <v>61</v>
      </c>
      <c r="D16" s="216">
        <v>-47983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-877339</v>
      </c>
      <c r="AU16" s="220">
        <v>0</v>
      </c>
      <c r="AV16" s="290"/>
      <c r="AW16" s="297"/>
    </row>
    <row r="17" spans="1:49" x14ac:dyDescent="0.2">
      <c r="B17" s="239" t="s">
        <v>234</v>
      </c>
      <c r="C17" s="203" t="s">
        <v>62</v>
      </c>
      <c r="D17" s="216">
        <v>1650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233</v>
      </c>
      <c r="E22" s="222">
        <f>'Pt 2 Premium and Claims'!E$55</f>
        <v>233.4</v>
      </c>
      <c r="F22" s="222">
        <f>'Pt 2 Premium and Claims'!F$55</f>
        <v>0</v>
      </c>
      <c r="G22" s="222">
        <f>'Pt 2 Premium and Claims'!G$55</f>
        <v>0</v>
      </c>
      <c r="H22" s="222">
        <f>'Pt 2 Premium and Claims'!H$55</f>
        <v>0</v>
      </c>
      <c r="I22" s="221">
        <f>'Pt 2 Premium and Claims'!I$55</f>
        <v>0</v>
      </c>
      <c r="J22" s="221">
        <f>'Pt 2 Premium and Claims'!J$55</f>
        <v>30.97</v>
      </c>
      <c r="K22" s="222">
        <f>'Pt 2 Premium and Claims'!K$55</f>
        <v>30.97</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56675.45</v>
      </c>
      <c r="E25" s="217">
        <v>56675.45</v>
      </c>
      <c r="F25" s="217"/>
      <c r="G25" s="217"/>
      <c r="H25" s="217"/>
      <c r="I25" s="216"/>
      <c r="J25" s="216">
        <v>9697.0300000000007</v>
      </c>
      <c r="K25" s="217">
        <v>9697.0300000000007</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132353.1</v>
      </c>
      <c r="AU25" s="220"/>
      <c r="AV25" s="220"/>
      <c r="AW25" s="297"/>
    </row>
    <row r="26" spans="1:49" s="5" customFormat="1" x14ac:dyDescent="0.2">
      <c r="A26" s="35"/>
      <c r="B26" s="242" t="s">
        <v>242</v>
      </c>
      <c r="C26" s="203"/>
      <c r="D26" s="216">
        <v>904.1</v>
      </c>
      <c r="E26" s="217">
        <v>904.1</v>
      </c>
      <c r="F26" s="217"/>
      <c r="G26" s="217"/>
      <c r="H26" s="217"/>
      <c r="I26" s="216"/>
      <c r="J26" s="216">
        <v>7.93</v>
      </c>
      <c r="K26" s="217">
        <v>7.93</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81.13</v>
      </c>
      <c r="AU26" s="220"/>
      <c r="AV26" s="220"/>
      <c r="AW26" s="297"/>
    </row>
    <row r="27" spans="1:49" s="5" customFormat="1" x14ac:dyDescent="0.2">
      <c r="B27" s="242" t="s">
        <v>243</v>
      </c>
      <c r="C27" s="203"/>
      <c r="D27" s="216">
        <v>19202.12</v>
      </c>
      <c r="E27" s="217">
        <v>19202.12</v>
      </c>
      <c r="F27" s="217"/>
      <c r="G27" s="217"/>
      <c r="H27" s="217"/>
      <c r="I27" s="216"/>
      <c r="J27" s="216">
        <v>906.06</v>
      </c>
      <c r="K27" s="217">
        <v>906.06</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127769.01</v>
      </c>
      <c r="AU27" s="220"/>
      <c r="AV27" s="293"/>
      <c r="AW27" s="297"/>
    </row>
    <row r="28" spans="1:49" s="5" customFormat="1" x14ac:dyDescent="0.2">
      <c r="A28" s="35"/>
      <c r="B28" s="242" t="s">
        <v>244</v>
      </c>
      <c r="C28" s="203"/>
      <c r="D28" s="216">
        <v>3708.23</v>
      </c>
      <c r="E28" s="217">
        <v>3708.23</v>
      </c>
      <c r="F28" s="217"/>
      <c r="G28" s="217"/>
      <c r="H28" s="217"/>
      <c r="I28" s="216"/>
      <c r="J28" s="216">
        <v>50.45</v>
      </c>
      <c r="K28" s="217">
        <v>50.45</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37743.35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4819.92</v>
      </c>
      <c r="E30" s="217">
        <v>4819.92</v>
      </c>
      <c r="F30" s="217"/>
      <c r="G30" s="217"/>
      <c r="H30" s="217"/>
      <c r="I30" s="216"/>
      <c r="J30" s="216">
        <v>719.59</v>
      </c>
      <c r="K30" s="217">
        <v>719.59</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14812.28</v>
      </c>
      <c r="AU30" s="220"/>
      <c r="AV30" s="220"/>
      <c r="AW30" s="297"/>
    </row>
    <row r="31" spans="1:49" x14ac:dyDescent="0.2">
      <c r="B31" s="242" t="s">
        <v>247</v>
      </c>
      <c r="C31" s="203"/>
      <c r="D31" s="216">
        <v>37523.129999999997</v>
      </c>
      <c r="E31" s="217">
        <v>37523.129999999997</v>
      </c>
      <c r="F31" s="217"/>
      <c r="G31" s="217"/>
      <c r="H31" s="217"/>
      <c r="I31" s="216"/>
      <c r="J31" s="216">
        <v>1683.1</v>
      </c>
      <c r="K31" s="217">
        <v>1683.1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313922.77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9918.82</v>
      </c>
      <c r="E34" s="217">
        <v>12092.5</v>
      </c>
      <c r="F34" s="217"/>
      <c r="G34" s="217"/>
      <c r="H34" s="217"/>
      <c r="I34" s="216"/>
      <c r="J34" s="216">
        <v>219.56</v>
      </c>
      <c r="K34" s="217">
        <v>219.56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1216.1300000000001</v>
      </c>
      <c r="E35" s="217">
        <v>1216.1300000000001</v>
      </c>
      <c r="F35" s="217"/>
      <c r="G35" s="217"/>
      <c r="H35" s="217"/>
      <c r="I35" s="216"/>
      <c r="J35" s="216">
        <v>20.350000000000001</v>
      </c>
      <c r="K35" s="217">
        <v>20.350000000000001</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11505.13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63896</v>
      </c>
      <c r="E37" s="225">
        <v>63895.54</v>
      </c>
      <c r="F37" s="225"/>
      <c r="G37" s="225"/>
      <c r="H37" s="225"/>
      <c r="I37" s="224"/>
      <c r="J37" s="224">
        <v>-212</v>
      </c>
      <c r="K37" s="225">
        <v>-212.35</v>
      </c>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667</v>
      </c>
      <c r="AU37" s="226">
        <v>0</v>
      </c>
      <c r="AV37" s="226">
        <v>50818</v>
      </c>
      <c r="AW37" s="296"/>
    </row>
    <row r="38" spans="1:49" x14ac:dyDescent="0.2">
      <c r="B38" s="239" t="s">
        <v>254</v>
      </c>
      <c r="C38" s="203" t="s">
        <v>16</v>
      </c>
      <c r="D38" s="216">
        <v>66203</v>
      </c>
      <c r="E38" s="217">
        <v>66203.490000000005</v>
      </c>
      <c r="F38" s="217"/>
      <c r="G38" s="217"/>
      <c r="H38" s="217"/>
      <c r="I38" s="216"/>
      <c r="J38" s="216">
        <v>-229</v>
      </c>
      <c r="K38" s="217">
        <v>-228.73</v>
      </c>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v>
      </c>
      <c r="AU38" s="220">
        <v>0</v>
      </c>
      <c r="AV38" s="220">
        <v>54306</v>
      </c>
      <c r="AW38" s="297"/>
    </row>
    <row r="39" spans="1:49" x14ac:dyDescent="0.2">
      <c r="B39" s="242" t="s">
        <v>255</v>
      </c>
      <c r="C39" s="203" t="s">
        <v>17</v>
      </c>
      <c r="D39" s="216">
        <v>10421</v>
      </c>
      <c r="E39" s="217">
        <v>10420.61</v>
      </c>
      <c r="F39" s="217"/>
      <c r="G39" s="217"/>
      <c r="H39" s="217"/>
      <c r="I39" s="216"/>
      <c r="J39" s="216">
        <v>-32</v>
      </c>
      <c r="K39" s="217">
        <v>-32.39</v>
      </c>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913</v>
      </c>
      <c r="AU39" s="220">
        <v>0</v>
      </c>
      <c r="AV39" s="220">
        <v>7625</v>
      </c>
      <c r="AW39" s="297"/>
    </row>
    <row r="40" spans="1:49" x14ac:dyDescent="0.2">
      <c r="B40" s="242" t="s">
        <v>256</v>
      </c>
      <c r="C40" s="203" t="s">
        <v>38</v>
      </c>
      <c r="D40" s="216">
        <v>41759</v>
      </c>
      <c r="E40" s="217">
        <v>41758.910000000003</v>
      </c>
      <c r="F40" s="217"/>
      <c r="G40" s="217"/>
      <c r="H40" s="217"/>
      <c r="I40" s="216"/>
      <c r="J40" s="216">
        <v>115</v>
      </c>
      <c r="K40" s="217">
        <v>115.42</v>
      </c>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19322</v>
      </c>
      <c r="AU40" s="220">
        <v>0</v>
      </c>
      <c r="AV40" s="220">
        <v>32345</v>
      </c>
      <c r="AW40" s="297"/>
    </row>
    <row r="41" spans="1:49" s="5" customFormat="1" ht="25.5" x14ac:dyDescent="0.2">
      <c r="A41" s="35"/>
      <c r="B41" s="242" t="s">
        <v>257</v>
      </c>
      <c r="C41" s="203" t="s">
        <v>129</v>
      </c>
      <c r="D41" s="216">
        <v>1686</v>
      </c>
      <c r="E41" s="217">
        <v>1686.15</v>
      </c>
      <c r="F41" s="217"/>
      <c r="G41" s="217"/>
      <c r="H41" s="217"/>
      <c r="I41" s="216"/>
      <c r="J41" s="216">
        <v>29</v>
      </c>
      <c r="K41" s="217">
        <v>28.72</v>
      </c>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23131</v>
      </c>
      <c r="AU41" s="220">
        <v>0</v>
      </c>
      <c r="AV41" s="220">
        <v>41</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19846</v>
      </c>
      <c r="E44" s="225">
        <v>19846.3</v>
      </c>
      <c r="F44" s="225"/>
      <c r="G44" s="225"/>
      <c r="H44" s="225"/>
      <c r="I44" s="224"/>
      <c r="J44" s="224">
        <v>145</v>
      </c>
      <c r="K44" s="225">
        <v>144.52000000000001</v>
      </c>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90472</v>
      </c>
      <c r="AU44" s="226">
        <v>0</v>
      </c>
      <c r="AV44" s="226">
        <v>8626</v>
      </c>
      <c r="AW44" s="296"/>
    </row>
    <row r="45" spans="1:49" x14ac:dyDescent="0.2">
      <c r="B45" s="245" t="s">
        <v>261</v>
      </c>
      <c r="C45" s="203" t="s">
        <v>19</v>
      </c>
      <c r="D45" s="216">
        <v>6470</v>
      </c>
      <c r="E45" s="217">
        <v>6469.58</v>
      </c>
      <c r="F45" s="217"/>
      <c r="G45" s="217"/>
      <c r="H45" s="217"/>
      <c r="I45" s="216"/>
      <c r="J45" s="216">
        <v>155</v>
      </c>
      <c r="K45" s="217">
        <v>155.05000000000001</v>
      </c>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91079</v>
      </c>
      <c r="AU45" s="220">
        <v>0</v>
      </c>
      <c r="AV45" s="220">
        <v>0</v>
      </c>
      <c r="AW45" s="297"/>
    </row>
    <row r="46" spans="1:49" x14ac:dyDescent="0.2">
      <c r="B46" s="245" t="s">
        <v>262</v>
      </c>
      <c r="C46" s="203" t="s">
        <v>20</v>
      </c>
      <c r="D46" s="216">
        <v>2929</v>
      </c>
      <c r="E46" s="217">
        <v>2928.61</v>
      </c>
      <c r="F46" s="217"/>
      <c r="G46" s="217"/>
      <c r="H46" s="217"/>
      <c r="I46" s="216"/>
      <c r="J46" s="216">
        <v>108</v>
      </c>
      <c r="K46" s="217">
        <v>107.77</v>
      </c>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83640</v>
      </c>
      <c r="AU46" s="220">
        <v>0</v>
      </c>
      <c r="AV46" s="220">
        <v>0</v>
      </c>
      <c r="AW46" s="297"/>
    </row>
    <row r="47" spans="1:49" x14ac:dyDescent="0.2">
      <c r="B47" s="245" t="s">
        <v>263</v>
      </c>
      <c r="C47" s="203" t="s">
        <v>21</v>
      </c>
      <c r="D47" s="216">
        <v>47878</v>
      </c>
      <c r="E47" s="217">
        <v>47877.62</v>
      </c>
      <c r="F47" s="217"/>
      <c r="G47" s="217"/>
      <c r="H47" s="217"/>
      <c r="I47" s="216"/>
      <c r="J47" s="216">
        <v>1107</v>
      </c>
      <c r="K47" s="217">
        <v>1107</v>
      </c>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1181558</v>
      </c>
      <c r="AU47" s="220">
        <v>0</v>
      </c>
      <c r="AV47" s="220">
        <v>377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1542.64</v>
      </c>
      <c r="E49" s="217">
        <v>1542.64</v>
      </c>
      <c r="F49" s="217"/>
      <c r="G49" s="217"/>
      <c r="H49" s="217"/>
      <c r="I49" s="216"/>
      <c r="J49" s="216">
        <v>209.79</v>
      </c>
      <c r="K49" s="217">
        <v>209.79</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4004.95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105237</v>
      </c>
      <c r="E51" s="217">
        <v>105236.52</v>
      </c>
      <c r="F51" s="217"/>
      <c r="G51" s="217"/>
      <c r="H51" s="217"/>
      <c r="I51" s="216"/>
      <c r="J51" s="216">
        <v>-4607</v>
      </c>
      <c r="K51" s="217">
        <v>-4606.75</v>
      </c>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657987</v>
      </c>
      <c r="AU51" s="220">
        <v>0</v>
      </c>
      <c r="AV51" s="220">
        <v>31796</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118</v>
      </c>
      <c r="E56" s="229">
        <v>118</v>
      </c>
      <c r="F56" s="229"/>
      <c r="G56" s="229"/>
      <c r="H56" s="229"/>
      <c r="I56" s="228"/>
      <c r="J56" s="228">
        <v>38</v>
      </c>
      <c r="K56" s="229">
        <v>38</v>
      </c>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22448</v>
      </c>
      <c r="AU56" s="230">
        <v>0</v>
      </c>
      <c r="AV56" s="230">
        <v>0</v>
      </c>
      <c r="AW56" s="288"/>
    </row>
    <row r="57" spans="2:49" x14ac:dyDescent="0.2">
      <c r="B57" s="245" t="s">
        <v>272</v>
      </c>
      <c r="C57" s="203" t="s">
        <v>25</v>
      </c>
      <c r="D57" s="231">
        <v>185</v>
      </c>
      <c r="E57" s="232">
        <v>185</v>
      </c>
      <c r="F57" s="232"/>
      <c r="G57" s="232"/>
      <c r="H57" s="232"/>
      <c r="I57" s="231"/>
      <c r="J57" s="231">
        <v>51</v>
      </c>
      <c r="K57" s="232">
        <v>51</v>
      </c>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40788</v>
      </c>
      <c r="AU57" s="233">
        <v>0</v>
      </c>
      <c r="AV57" s="233">
        <v>0</v>
      </c>
      <c r="AW57" s="289"/>
    </row>
    <row r="58" spans="2:49" x14ac:dyDescent="0.2">
      <c r="B58" s="245" t="s">
        <v>273</v>
      </c>
      <c r="C58" s="203" t="s">
        <v>26</v>
      </c>
      <c r="D58" s="309"/>
      <c r="E58" s="310"/>
      <c r="F58" s="310"/>
      <c r="G58" s="310"/>
      <c r="H58" s="310"/>
      <c r="I58" s="309"/>
      <c r="J58" s="231">
        <v>2</v>
      </c>
      <c r="K58" s="232">
        <v>2</v>
      </c>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325</v>
      </c>
      <c r="AU58" s="233">
        <v>0</v>
      </c>
      <c r="AV58" s="233">
        <v>0</v>
      </c>
      <c r="AW58" s="289"/>
    </row>
    <row r="59" spans="2:49" x14ac:dyDescent="0.2">
      <c r="B59" s="245" t="s">
        <v>274</v>
      </c>
      <c r="C59" s="203" t="s">
        <v>27</v>
      </c>
      <c r="D59" s="231">
        <v>2382</v>
      </c>
      <c r="E59" s="232">
        <v>2381</v>
      </c>
      <c r="F59" s="232"/>
      <c r="G59" s="232"/>
      <c r="H59" s="232"/>
      <c r="I59" s="231"/>
      <c r="J59" s="231">
        <v>686</v>
      </c>
      <c r="K59" s="232">
        <v>685</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489818</v>
      </c>
      <c r="AU59" s="233">
        <v>0</v>
      </c>
      <c r="AV59" s="233">
        <v>0</v>
      </c>
      <c r="AW59" s="289"/>
    </row>
    <row r="60" spans="2:49" x14ac:dyDescent="0.2">
      <c r="B60" s="245" t="s">
        <v>275</v>
      </c>
      <c r="C60" s="203"/>
      <c r="D60" s="234">
        <f t="shared" ref="D60:AC60" si="0">D$59/12</f>
        <v>198.5</v>
      </c>
      <c r="E60" s="235">
        <f t="shared" si="0"/>
        <v>198.41666666666666</v>
      </c>
      <c r="F60" s="235">
        <f t="shared" si="0"/>
        <v>0</v>
      </c>
      <c r="G60" s="235">
        <f t="shared" si="0"/>
        <v>0</v>
      </c>
      <c r="H60" s="235">
        <f t="shared" si="0"/>
        <v>0</v>
      </c>
      <c r="I60" s="234">
        <f t="shared" si="0"/>
        <v>0</v>
      </c>
      <c r="J60" s="234">
        <f t="shared" si="0"/>
        <v>57.166666666666664</v>
      </c>
      <c r="K60" s="235">
        <f t="shared" si="0"/>
        <v>57.083333333333336</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40818.166666666664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733550</v>
      </c>
      <c r="E5" s="326">
        <v>841575.83</v>
      </c>
      <c r="F5" s="326"/>
      <c r="G5" s="328"/>
      <c r="H5" s="328"/>
      <c r="I5" s="325"/>
      <c r="J5" s="325">
        <v>451155</v>
      </c>
      <c r="K5" s="326">
        <v>532316.37</v>
      </c>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11014987</v>
      </c>
      <c r="AU5" s="327">
        <v>0</v>
      </c>
      <c r="AV5" s="369"/>
      <c r="AW5" s="373"/>
    </row>
    <row r="6" spans="2:49" x14ac:dyDescent="0.2">
      <c r="B6" s="343" t="s">
        <v>278</v>
      </c>
      <c r="C6" s="331" t="s">
        <v>8</v>
      </c>
      <c r="D6" s="318">
        <v>6490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27554</v>
      </c>
      <c r="AU6" s="321">
        <v>0</v>
      </c>
      <c r="AV6" s="368"/>
      <c r="AW6" s="374"/>
    </row>
    <row r="7" spans="2:49" x14ac:dyDescent="0.2">
      <c r="B7" s="343" t="s">
        <v>279</v>
      </c>
      <c r="C7" s="331" t="s">
        <v>9</v>
      </c>
      <c r="D7" s="318">
        <v>5178</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30496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66139.02</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74763.490000000005</v>
      </c>
      <c r="F16" s="319"/>
      <c r="G16" s="319"/>
      <c r="H16" s="319"/>
      <c r="I16" s="318"/>
      <c r="J16" s="318"/>
      <c r="K16" s="319">
        <v>-69246.02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-676067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662897</v>
      </c>
      <c r="E23" s="362"/>
      <c r="F23" s="362"/>
      <c r="G23" s="362"/>
      <c r="H23" s="362"/>
      <c r="I23" s="364"/>
      <c r="J23" s="318">
        <v>365958</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7550183</v>
      </c>
      <c r="AU23" s="321">
        <v>0</v>
      </c>
      <c r="AV23" s="368"/>
      <c r="AW23" s="374"/>
    </row>
    <row r="24" spans="2:49" ht="28.5" customHeight="1" x14ac:dyDescent="0.2">
      <c r="B24" s="345" t="s">
        <v>114</v>
      </c>
      <c r="C24" s="331"/>
      <c r="D24" s="365"/>
      <c r="E24" s="319">
        <v>541297.72</v>
      </c>
      <c r="F24" s="319"/>
      <c r="G24" s="319"/>
      <c r="H24" s="319"/>
      <c r="I24" s="318"/>
      <c r="J24" s="365"/>
      <c r="K24" s="319">
        <v>331237.01</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56724</v>
      </c>
      <c r="E26" s="362"/>
      <c r="F26" s="362"/>
      <c r="G26" s="362"/>
      <c r="H26" s="362"/>
      <c r="I26" s="364"/>
      <c r="J26" s="318">
        <v>68834</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967708</v>
      </c>
      <c r="AU26" s="321">
        <v>0</v>
      </c>
      <c r="AV26" s="368"/>
      <c r="AW26" s="374"/>
    </row>
    <row r="27" spans="2:49" s="5" customFormat="1" ht="25.5" x14ac:dyDescent="0.2">
      <c r="B27" s="345" t="s">
        <v>85</v>
      </c>
      <c r="C27" s="331"/>
      <c r="D27" s="365"/>
      <c r="E27" s="319">
        <v>16632.007000000001</v>
      </c>
      <c r="F27" s="319"/>
      <c r="G27" s="319"/>
      <c r="H27" s="319"/>
      <c r="I27" s="318"/>
      <c r="J27" s="365"/>
      <c r="K27" s="319">
        <v>5690.7154</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328059</v>
      </c>
      <c r="E28" s="363"/>
      <c r="F28" s="363"/>
      <c r="G28" s="363"/>
      <c r="H28" s="363"/>
      <c r="I28" s="365"/>
      <c r="J28" s="318">
        <v>89646</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715801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23</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-750.24</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774</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15022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307762</v>
      </c>
      <c r="AU34" s="321">
        <v>0</v>
      </c>
      <c r="AV34" s="368"/>
      <c r="AW34" s="374"/>
    </row>
    <row r="35" spans="2:49" s="5" customFormat="1" x14ac:dyDescent="0.2">
      <c r="B35" s="345" t="s">
        <v>91</v>
      </c>
      <c r="C35" s="331"/>
      <c r="D35" s="365"/>
      <c r="E35" s="319">
        <v>15021.98</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233912</v>
      </c>
      <c r="E36" s="319">
        <v>233912.02</v>
      </c>
      <c r="F36" s="319"/>
      <c r="G36" s="319"/>
      <c r="H36" s="319"/>
      <c r="I36" s="318"/>
      <c r="J36" s="318">
        <v>0</v>
      </c>
      <c r="K36" s="319">
        <v>0</v>
      </c>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4920</v>
      </c>
      <c r="E49" s="319">
        <v>13447.89</v>
      </c>
      <c r="F49" s="319"/>
      <c r="G49" s="319"/>
      <c r="H49" s="319"/>
      <c r="I49" s="318"/>
      <c r="J49" s="318">
        <v>1307</v>
      </c>
      <c r="K49" s="319">
        <v>4465.58</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-21</v>
      </c>
      <c r="AU49" s="321">
        <v>0</v>
      </c>
      <c r="AV49" s="368"/>
      <c r="AW49" s="374"/>
    </row>
    <row r="50" spans="2:49" x14ac:dyDescent="0.2">
      <c r="B50" s="343" t="s">
        <v>119</v>
      </c>
      <c r="C50" s="331" t="s">
        <v>34</v>
      </c>
      <c r="D50" s="318">
        <v>1727</v>
      </c>
      <c r="E50" s="363"/>
      <c r="F50" s="363"/>
      <c r="G50" s="363"/>
      <c r="H50" s="363"/>
      <c r="I50" s="365"/>
      <c r="J50" s="318">
        <v>840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169479</v>
      </c>
      <c r="E54" s="323">
        <f>E24+E27+E31+E35-E36+E39+E42+E45+E46-E49+E51+E52+E53</f>
        <v>325591.7969999999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343928</v>
      </c>
      <c r="K54" s="323">
        <f>K24+K27+K31+K35-K36+K39+K42+K45+K46-K49+K51+K52+K53</f>
        <v>331711.90539999999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8109864</v>
      </c>
      <c r="AU54" s="324">
        <f>AU23+AU26-AU28+AU30-AU32+AU34-AU36+AU38+AU41-AU43+AU45+AU46-AU47-AU49+AU50+AU51+AU52+AU53</f>
        <v>0</v>
      </c>
      <c r="AV54" s="368"/>
      <c r="AW54" s="374"/>
    </row>
    <row r="55" spans="2:49" ht="25.5" x14ac:dyDescent="0.2">
      <c r="B55" s="348" t="s">
        <v>493</v>
      </c>
      <c r="C55" s="335" t="s">
        <v>28</v>
      </c>
      <c r="D55" s="322">
        <f t="shared" ref="D55:AC55" si="0">MIN(MAX(0,D56),MAX(0,D57))</f>
        <v>233</v>
      </c>
      <c r="E55" s="323">
        <f t="shared" si="0"/>
        <v>233.4</v>
      </c>
      <c r="F55" s="323">
        <f t="shared" si="0"/>
        <v>0</v>
      </c>
      <c r="G55" s="323">
        <f t="shared" si="0"/>
        <v>0</v>
      </c>
      <c r="H55" s="323">
        <f t="shared" si="0"/>
        <v>0</v>
      </c>
      <c r="I55" s="322">
        <f t="shared" si="0"/>
        <v>0</v>
      </c>
      <c r="J55" s="322">
        <f t="shared" si="0"/>
        <v>30.97</v>
      </c>
      <c r="K55" s="323">
        <f t="shared" si="0"/>
        <v>30.97</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1399.97</v>
      </c>
      <c r="E56" s="319">
        <v>1399.97</v>
      </c>
      <c r="F56" s="319"/>
      <c r="G56" s="319"/>
      <c r="H56" s="319"/>
      <c r="I56" s="318"/>
      <c r="J56" s="318">
        <v>30.97</v>
      </c>
      <c r="K56" s="319">
        <v>30.97</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233</v>
      </c>
      <c r="E57" s="319">
        <v>233.4</v>
      </c>
      <c r="F57" s="319"/>
      <c r="G57" s="319"/>
      <c r="H57" s="319"/>
      <c r="I57" s="318"/>
      <c r="J57" s="318">
        <v>242</v>
      </c>
      <c r="K57" s="319">
        <v>242.38</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1836394.23</v>
      </c>
      <c r="D5" s="403">
        <v>1743545</v>
      </c>
      <c r="E5" s="454"/>
      <c r="F5" s="454"/>
      <c r="G5" s="448"/>
      <c r="H5" s="402">
        <v>226521.81</v>
      </c>
      <c r="I5" s="403">
        <v>366085.24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1850545.7324999999</v>
      </c>
      <c r="D6" s="398">
        <v>1783727.777</v>
      </c>
      <c r="E6" s="400">
        <f>SUM('Pt 1 Summary of Data'!E$12,'Pt 1 Summary of Data'!E$22)+SUM('Pt 1 Summary of Data'!G$12,'Pt 1 Summary of Data'!G$22)-SUM('Pt 1 Summary of Data'!H$12,'Pt 1 Summary of Data'!H$22)</f>
        <v>325825.19699999993</v>
      </c>
      <c r="F6" s="400">
        <f t="shared" ref="F6:F11" si="0">SUM(C6:E6)</f>
        <v>3960098.7064999994</v>
      </c>
      <c r="G6" s="401">
        <f>SUM('Pt 1 Summary of Data'!I$12,'Pt 1 Summary of Data'!I$22)</f>
        <v>0</v>
      </c>
      <c r="H6" s="397">
        <v>222446.5909566964</v>
      </c>
      <c r="I6" s="398">
        <v>361286.08409999998</v>
      </c>
      <c r="J6" s="400">
        <f>SUM('Pt 1 Summary of Data'!K$12,'Pt 1 Summary of Data'!K$22)+SUM('Pt 1 Summary of Data'!M$12,'Pt 1 Summary of Data'!M$22)-SUM('Pt 1 Summary of Data'!N$12,'Pt 1 Summary of Data'!N$22)</f>
        <v>331742.87539999996</v>
      </c>
      <c r="K6" s="400">
        <f>SUM(H6:J6)</f>
        <v>915475.55045669642</v>
      </c>
      <c r="L6" s="401">
        <f>SUM('Pt 1 Summary of Data'!O$12,'Pt 1 Summary of Data'!O$22)</f>
        <v>0</v>
      </c>
      <c r="M6" s="397"/>
      <c r="N6" s="398"/>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19581.75</v>
      </c>
      <c r="D7" s="398">
        <v>14575.61</v>
      </c>
      <c r="E7" s="400">
        <f>SUM('Pt 1 Summary of Data'!E$37:E$41)+SUM('Pt 1 Summary of Data'!G$37:G$41)-SUM('Pt 1 Summary of Data'!H$37:H$41)+MAX(0,MIN('Pt 1 Summary of Data'!E$42+'Pt 1 Summary of Data'!G$42-'Pt 1 Summary of Data'!H$42,0.3%*('Pt 1 Summary of Data'!E$5+'Pt 1 Summary of Data'!G$5-'Pt 1 Summary of Data'!H$5-SUM(E$9:E$11))))</f>
        <v>183964.7</v>
      </c>
      <c r="F7" s="400">
        <f t="shared" si="0"/>
        <v>218122.06</v>
      </c>
      <c r="G7" s="401">
        <f>SUM('Pt 1 Summary of Data'!I$37:I$41)+MAX(0,MIN(VALUE('Pt 1 Summary of Data'!I$42),0.3%*('Pt 1 Summary of Data'!I$5-SUM(G$9:G$10))))</f>
        <v>0</v>
      </c>
      <c r="H7" s="397">
        <v>4675.62</v>
      </c>
      <c r="I7" s="398">
        <v>39837.57</v>
      </c>
      <c r="J7" s="400">
        <f>SUM('Pt 1 Summary of Data'!K$37:K$41)+SUM('Pt 1 Summary of Data'!M$37:M$41)-SUM('Pt 1 Summary of Data'!N$37:N$41)+MAX(0,MIN('Pt 1 Summary of Data'!K$42+'Pt 1 Summary of Data'!M$42-'Pt 1 Summary of Data'!N$42,0.3%*('Pt 1 Summary of Data'!K$5+'Pt 1 Summary of Data'!M$5-'Pt 1 Summary of Data'!N$5-SUM(J$10:J$11))))</f>
        <v>-329.32999999999993</v>
      </c>
      <c r="K7" s="400">
        <f>SUM(H7:J7)</f>
        <v>44183.86</v>
      </c>
      <c r="L7" s="401">
        <f>SUM('Pt 1 Summary of Data'!O$37:O$41)+MAX(0,MIN(VALUE('Pt 1 Summary of Data'!O$42),0.3%*('Pt 1 Summary of Data'!O$5-L$10)))</f>
        <v>0</v>
      </c>
      <c r="M7" s="397"/>
      <c r="N7" s="398"/>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48913.42</v>
      </c>
      <c r="E9" s="400">
        <f>'Pt 2 Premium and Claims'!E$15+'Pt 2 Premium and Claims'!G$15-'Pt 2 Premium and Claims'!H$15</f>
        <v>66139.02</v>
      </c>
      <c r="F9" s="400">
        <f t="shared" si="0"/>
        <v>115052.44</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-107296.38</v>
      </c>
      <c r="E10" s="400">
        <f>'Pt 2 Premium and Claims'!E$16+'Pt 2 Premium and Claims'!G$16-'Pt 2 Premium and Claims'!H$16</f>
        <v>74763.490000000005</v>
      </c>
      <c r="F10" s="400">
        <f t="shared" si="0"/>
        <v>-32532.89</v>
      </c>
      <c r="G10" s="401">
        <f>'Pt 2 Premium and Claims'!I$16</f>
        <v>0</v>
      </c>
      <c r="H10" s="443"/>
      <c r="I10" s="398">
        <v>-81323.210000000006</v>
      </c>
      <c r="J10" s="400">
        <f>'Pt 2 Premium and Claims'!K$16+'Pt 2 Premium and Claims'!M$16-'Pt 2 Premium and Claims'!N$16</f>
        <v>-69246.02</v>
      </c>
      <c r="K10" s="400">
        <f>SUM(H10:J10)</f>
        <v>-150569.23000000001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1870127.4824999999</v>
      </c>
      <c r="D12" s="400">
        <f>SUM(D$6:D$7) - SUM(D$8:D$11)+IF(AND(OR('Company Information'!$C$12="District of Columbia",'Company Information'!$C$12="Massachusetts",'Company Information'!$C$12="Vermont"),SUM($C$6:$F$11,$C$15:$F$16,$C$38:$D$38)&lt;&gt;0),SUM(I$6:I$7) - SUM(I$10:I$11),0)</f>
        <v>1856686.3470000001</v>
      </c>
      <c r="E12" s="400">
        <f>SUM(E$6:E$7)-SUM(E$8:E$11)+IF(AND(OR('Company Information'!$C$12="District of Columbia",'Company Information'!$C$12="Massachusetts",'Company Information'!$C$12="Vermont"),SUM($C$6:$F$11,$C$15:$F$16,$C$38:$D$38)&lt;&gt;0),SUM(J$6:J$7)-SUM(J$10:J$11),0)</f>
        <v>368887.38699999993</v>
      </c>
      <c r="F12" s="400">
        <f>IFERROR(SUM(C$12:E$12)+C$17*MAX(0,E$50-C$50)+D$17*MAX(0,E$50-D$50),0)</f>
        <v>4095701.2165000001</v>
      </c>
      <c r="G12" s="447"/>
      <c r="H12" s="399">
        <f>SUM(H$6:H$7)+IF(AND(OR('Company Information'!$C$12="District of Columbia",'Company Information'!$C$12="Massachusetts",'Company Information'!$C$12="Vermont"),SUM($H$6:$K$11,$H$15:$K$16,$H$38:$I$38)&lt;&gt;0),SUM(C$6:C$7),0)</f>
        <v>227122.21095669639</v>
      </c>
      <c r="I12" s="400">
        <f>SUM(I$6:I$7) - SUM(I$10:I$11)+IF(AND(OR('Company Information'!$C$12="District of Columbia",'Company Information'!$C$12="Massachusetts",'Company Information'!$C$12="Vermont"),SUM($H$6:$K$11,$H$15:$K$16,$H$38:$I$38)&lt;&gt;0),SUM(D$6:D$7) - SUM(D$8:D$11),0)</f>
        <v>482446.86410000001</v>
      </c>
      <c r="J12" s="400">
        <f>SUM(J$6:J$7)-SUM(J$10:J$11)+IF(AND(OR('Company Information'!$C$12="District of Columbia",'Company Information'!$C$12="Massachusetts",'Company Information'!$C$12="Vermont"),SUM($H$6:$K$11,$H$15:$K$16,$H$38:$I$38)&lt;&gt;0),SUM(E$6:E$7)-SUM(E$8:E$11),0)</f>
        <v>400659.56539999996</v>
      </c>
      <c r="K12" s="400">
        <f>IFERROR(SUM(H$12:J$12)+H$17*MAX(0,J$50-H$50)+I$17*MAX(0,J$50-I$50),0)</f>
        <v>1110228.6404566965</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2052966.93</v>
      </c>
      <c r="D15" s="403">
        <v>1676448.19</v>
      </c>
      <c r="E15" s="395">
        <f>SUM('Pt 1 Summary of Data'!E$5:E$7)+SUM('Pt 1 Summary of Data'!G$5:G$7)-SUM('Pt 1 Summary of Data'!H$5:H$7)-SUM(E$9:E$11)</f>
        <v>841541.14</v>
      </c>
      <c r="F15" s="395">
        <f>SUM(C15:E15)</f>
        <v>4570956.26</v>
      </c>
      <c r="G15" s="396">
        <f>SUM('Pt 1 Summary of Data'!I$5:I$7)-SUM(G$9:G$10)</f>
        <v>0</v>
      </c>
      <c r="H15" s="402">
        <v>1065112.44</v>
      </c>
      <c r="I15" s="403">
        <v>889442.26</v>
      </c>
      <c r="J15" s="395">
        <f>SUM('Pt 1 Summary of Data'!K$5:K$7)+SUM('Pt 1 Summary of Data'!M$5:M$7)-SUM('Pt 1 Summary of Data'!N$5:N$7)-SUM(J$10:J$11)</f>
        <v>532316.59</v>
      </c>
      <c r="K15" s="395">
        <f>SUM(H15:J15)</f>
        <v>2486871.29</v>
      </c>
      <c r="L15" s="396">
        <f>SUM('Pt 1 Summary of Data'!O$5:O$7)-L$10</f>
        <v>0</v>
      </c>
      <c r="M15" s="402"/>
      <c r="N15" s="403"/>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11453.18</v>
      </c>
      <c r="D16" s="398">
        <v>-150643.93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136141.57999999999</v>
      </c>
      <c r="F16" s="400">
        <f>SUM(C16:E16)</f>
        <v>-3049.1700000000128</v>
      </c>
      <c r="G16" s="401">
        <f>SUM('Pt 1 Summary of Data'!I$25:I$28,'Pt 1 Summary of Data'!I$30,'Pt 1 Summary of Data'!I$34:I$35)+IF('Company Information'!$C$15="No",IF(MAX('Pt 1 Summary of Data'!I$31:I$32)=0,MIN('Pt 1 Summary of Data'!I$31:I$32),MAX('Pt 1 Summary of Data'!I$31:I$32)),SUM('Pt 1 Summary of Data'!I$31:I$32))</f>
        <v>0</v>
      </c>
      <c r="H16" s="397">
        <v>251279</v>
      </c>
      <c r="I16" s="398">
        <v>152809.01999999999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13304.070000000002</v>
      </c>
      <c r="K16" s="400">
        <f>SUM(H16:J16)</f>
        <v>417392.09</v>
      </c>
      <c r="L16" s="401">
        <f>SUM('Pt 1 Summary of Data'!O$25:O$28,'Pt 1 Summary of Data'!O$30,'Pt 1 Summary of Data'!O$34:O$35)+IF('Company Information'!$C$15="No",IF(MAX('Pt 1 Summary of Data'!O$31:O$32)=0,MIN('Pt 1 Summary of Data'!O$31:O$32),MAX('Pt 1 Summary of Data'!O$31:O$32)),SUM('Pt 1 Summary of Data'!O$31:O$32))</f>
        <v>0</v>
      </c>
      <c r="M16" s="397"/>
      <c r="N16" s="398"/>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2041513.75</v>
      </c>
      <c r="D17" s="400">
        <f>D$15-D$16+IF(AND(OR('Company Information'!$C$12="District of Columbia",'Company Information'!$C$12="Massachusetts",'Company Information'!$C$12="Vermont"),SUM($C$6:$F$11,$C$15:$F$16,$C$38:$D$38)&lt;&gt;0),I$15-I$16,0)</f>
        <v>1827092.1199999999</v>
      </c>
      <c r="E17" s="400">
        <f>E$15-E$16+IF(AND(OR('Company Information'!$C$12="District of Columbia",'Company Information'!$C$12="Massachusetts",'Company Information'!$C$12="Vermont"),SUM($C$6:$F$11,$C$15:$F$16,$C$38:$D$38)&lt;&gt;0),J$15-J$16,0)</f>
        <v>705399.56</v>
      </c>
      <c r="F17" s="400">
        <f>F$15-F$16+IF(AND(OR('Company Information'!$C$12="District of Columbia",'Company Information'!$C$12="Massachusetts",'Company Information'!$C$12="Vermont"),SUM($C$6:$F$11,$C$15:$F$16,$C$38:$D$38)&lt;&gt;0),K$15-K$16,0)</f>
        <v>4574005.43</v>
      </c>
      <c r="G17" s="450"/>
      <c r="H17" s="399">
        <f>H$15-H$16+IF(AND(OR('Company Information'!$C$12="District of Columbia",'Company Information'!$C$12="Massachusetts",'Company Information'!$C$12="Vermont"),SUM($H$6:$K$11,$H$15:$K$16,$H$38:$I$38)&lt;&gt;0),C$15-C$16,0)</f>
        <v>813833.44</v>
      </c>
      <c r="I17" s="400">
        <f>I$15-I$16+IF(AND(OR('Company Information'!$C$12="District of Columbia",'Company Information'!$C$12="Massachusetts",'Company Information'!$C$12="Vermont"),SUM($H$6:$K$11,$H$15:$K$16,$H$38:$I$38)&lt;&gt;0),D$15-D$16,0)</f>
        <v>736633.24</v>
      </c>
      <c r="J17" s="400">
        <f>J$15-J$16+IF(AND(OR('Company Information'!$C$12="District of Columbia",'Company Information'!$C$12="Massachusetts",'Company Information'!$C$12="Vermont"),SUM($H$6:$K$11,$H$15:$K$16,$H$38:$I$38)&lt;&gt;0),E$15-E$16,0)</f>
        <v>519012.51999999996</v>
      </c>
      <c r="K17" s="400">
        <f>K$15-K$16+IF(AND(OR('Company Information'!$C$12="District of Columbia",'Company Information'!$C$12="Massachusetts",'Company Information'!$C$12="Vermont"),SUM($H$6:$K$11,$H$15:$K$16,$H$38:$I$38)&lt;&gt;0),F$15-F$16,0)</f>
        <v>2069479.2</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738</v>
      </c>
      <c r="D38" s="405">
        <v>507.08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198.41666666666666</v>
      </c>
      <c r="F38" s="432">
        <f>SUM(C$38:E$38)+IF(AND(OR('Company Information'!$C$12="District of Columbia",'Company Information'!$C$12="Massachusetts",'Company Information'!$C$12="Vermont"),SUM($C$6:$F$11,$C$15:$F$16,$C$38:$D$38)&lt;&gt;0,SUM(C$38:D$38)&lt;&gt;SUM(H$38:I$38)),SUM(H$38:I$38),0)</f>
        <v>1443.4966666666667</v>
      </c>
      <c r="G38" s="448"/>
      <c r="H38" s="404">
        <v>69</v>
      </c>
      <c r="I38" s="405">
        <v>78.75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57.083333333333336</v>
      </c>
      <c r="K38" s="432">
        <f>SUM(H$38:J$38)+IF(AND(OR('Company Information'!$C$12="District of Columbia",'Company Information'!$C$12="Massachusetts",'Company Information'!$C$12="Vermont"),SUM($H$6:$K$11,$H$15:$K$16,$H$38:$I$38)&lt;&gt;0,SUM(H$38:I$38)&lt;&gt;SUM(C$38:D$38)),SUM(C$38:D$38),0)</f>
        <v>204.83333333333334</v>
      </c>
      <c r="L38" s="448"/>
      <c r="M38" s="404"/>
      <c r="N38" s="405"/>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7.383440222222222E-2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5106</v>
      </c>
      <c r="G40" s="447"/>
      <c r="H40" s="443"/>
      <c r="I40" s="441"/>
      <c r="J40" s="441"/>
      <c r="K40" s="398">
        <v>2000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1.4090807999999999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0.10403863855081066</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f>IF(OR(F$38&lt;1000,F$17&lt;=0),"",F$12/F$17)</f>
        <v>0.89542989818881791</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0.10403863855081066</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0.999</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0.999</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705399.56</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17634.924879999999</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97.818721740000001</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118</v>
      </c>
      <c r="D4" s="104">
        <f>'Pt 1 Summary of Data'!$K$56+'Pt 1 Summary of Data'!$M$56-'Pt 1 Summary of Data'!$N$56</f>
        <v>38</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