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AB39" i="10" s="1"/>
  <c r="Z46" i="10"/>
  <c r="Y46" i="10"/>
  <c r="X46" i="10"/>
  <c r="W46" i="10"/>
  <c r="V46" i="10"/>
  <c r="U46" i="10"/>
  <c r="T46" i="10"/>
  <c r="S46" i="10"/>
  <c r="R46" i="10"/>
  <c r="Q46" i="10"/>
  <c r="O45" i="10"/>
  <c r="N45" i="10"/>
  <c r="M45" i="10"/>
  <c r="AB42" i="10"/>
  <c r="X42" i="10"/>
  <c r="T42" i="10"/>
  <c r="AB41" i="10"/>
  <c r="X41" i="10"/>
  <c r="T41" i="10"/>
  <c r="P41" i="10"/>
  <c r="K41" i="10"/>
  <c r="F41" i="10"/>
  <c r="T39" i="10"/>
  <c r="P39" i="10"/>
  <c r="AB38" i="10"/>
  <c r="AA38" i="10"/>
  <c r="X38" i="10"/>
  <c r="W38" i="10"/>
  <c r="T38" i="10"/>
  <c r="S38" i="10"/>
  <c r="P38" i="10"/>
  <c r="O38" i="10"/>
  <c r="L32" i="10"/>
  <c r="L27" i="10"/>
  <c r="L24" i="10"/>
  <c r="L23" i="10"/>
  <c r="L20" i="10"/>
  <c r="L19" i="10"/>
  <c r="L22" i="10" s="1"/>
  <c r="AB17" i="10"/>
  <c r="AA17" i="10"/>
  <c r="Z17" i="10"/>
  <c r="AB13" i="10" s="1"/>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W13" i="10"/>
  <c r="R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A55" i="18"/>
  <c r="AA22" i="4" s="1"/>
  <c r="Z55" i="18"/>
  <c r="Z22" i="4" s="1"/>
  <c r="Y55" i="18"/>
  <c r="X55" i="18"/>
  <c r="X22" i="4" s="1"/>
  <c r="W55" i="18"/>
  <c r="W22" i="4" s="1"/>
  <c r="V55" i="18"/>
  <c r="V22" i="4" s="1"/>
  <c r="U55" i="18"/>
  <c r="U22" i="4" s="1"/>
  <c r="T55" i="18"/>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T54" i="18"/>
  <c r="AS54" i="18"/>
  <c r="AC54" i="18"/>
  <c r="AC12" i="4" s="1"/>
  <c r="AB54" i="18"/>
  <c r="AA54" i="18"/>
  <c r="AA12" i="4" s="1"/>
  <c r="Z54" i="18"/>
  <c r="Y54" i="18"/>
  <c r="Y12" i="4" s="1"/>
  <c r="X54" i="18"/>
  <c r="X12" i="4" s="1"/>
  <c r="W54" i="18"/>
  <c r="V54" i="18"/>
  <c r="V12" i="4" s="1"/>
  <c r="U54" i="18"/>
  <c r="T54" i="18"/>
  <c r="S54" i="18"/>
  <c r="R54" i="18"/>
  <c r="R12" i="4" s="1"/>
  <c r="Q54" i="18"/>
  <c r="P54" i="18"/>
  <c r="P12" i="4" s="1"/>
  <c r="O54" i="18"/>
  <c r="N54" i="18"/>
  <c r="M54" i="18"/>
  <c r="L54" i="18"/>
  <c r="K54" i="18"/>
  <c r="J54" i="18"/>
  <c r="I54" i="18"/>
  <c r="H54" i="18"/>
  <c r="G54" i="18"/>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B22" i="4"/>
  <c r="Y22" i="4"/>
  <c r="T22" i="4"/>
  <c r="AU12" i="4"/>
  <c r="AT12" i="4"/>
  <c r="AS12" i="4"/>
  <c r="AB12" i="4"/>
  <c r="Z12" i="4"/>
  <c r="W12" i="4"/>
  <c r="U12" i="4"/>
  <c r="T12" i="4"/>
  <c r="S12" i="4"/>
  <c r="Q12" i="4"/>
  <c r="O12" i="4"/>
  <c r="N12" i="4"/>
  <c r="M12" i="4"/>
  <c r="L12" i="4"/>
  <c r="K12" i="4"/>
  <c r="J12" i="4"/>
  <c r="I12" i="4"/>
  <c r="H12" i="4"/>
  <c r="G12" i="4"/>
  <c r="E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7" i="10" l="1"/>
  <c r="J7" i="10"/>
  <c r="H17" i="10" s="1"/>
  <c r="G7" i="10"/>
  <c r="G32" i="10" s="1"/>
  <c r="E15" i="10"/>
  <c r="J15" i="10"/>
  <c r="L30" i="10"/>
  <c r="L31" i="10" s="1"/>
  <c r="F7" i="10"/>
  <c r="D17" i="10" s="1"/>
  <c r="K7" i="10"/>
  <c r="F15" i="10"/>
  <c r="G23" i="10"/>
  <c r="K15" i="10"/>
  <c r="K17" i="10" s="1"/>
  <c r="I12" i="10"/>
  <c r="L29" i="10"/>
  <c r="L33" i="10" s="1"/>
  <c r="L34" i="10" s="1"/>
  <c r="X39" i="10"/>
  <c r="P42" i="10"/>
  <c r="P47" i="10" s="1"/>
  <c r="P48" i="10" s="1"/>
  <c r="P51" i="10" s="1"/>
  <c r="P53" i="10" s="1"/>
  <c r="E11" i="16" s="1"/>
  <c r="L21" i="10"/>
  <c r="L26" i="10" s="1"/>
  <c r="L25" i="10" s="1"/>
  <c r="L28" i="10" s="1"/>
  <c r="X13" i="10"/>
  <c r="T13" i="10"/>
  <c r="V13" i="10"/>
  <c r="U13" i="10"/>
  <c r="S13" i="10"/>
  <c r="F17" i="10" l="1"/>
  <c r="E17" i="10"/>
  <c r="G24" i="10"/>
  <c r="G19" i="10"/>
  <c r="G22" i="10" s="1"/>
  <c r="G21" i="10" s="1"/>
  <c r="G26" i="10" s="1"/>
  <c r="I17" i="10"/>
  <c r="I45" i="10" s="1"/>
  <c r="E38" i="10"/>
  <c r="J12" i="10"/>
  <c r="C12" i="10"/>
  <c r="G20" i="10"/>
  <c r="D12" i="10"/>
  <c r="D45" i="10" s="1"/>
  <c r="G27" i="10"/>
  <c r="J38" i="10"/>
  <c r="K38" i="10" s="1"/>
  <c r="E12" i="10"/>
  <c r="H12" i="10"/>
  <c r="J17" i="10"/>
  <c r="J45" i="10" s="1"/>
  <c r="C17" i="10"/>
  <c r="F38" i="10"/>
  <c r="H45" i="10"/>
  <c r="K12" i="10" l="1"/>
  <c r="E45" i="10"/>
  <c r="G25" i="10"/>
  <c r="G28" i="10" s="1"/>
  <c r="G30" i="10"/>
  <c r="G31" i="10" s="1"/>
  <c r="G29" i="10" s="1"/>
  <c r="G33" i="10" s="1"/>
  <c r="G34" i="10" s="1"/>
  <c r="K52" i="10"/>
  <c r="K39" i="10"/>
  <c r="K42" i="10" s="1"/>
  <c r="K45" i="10"/>
  <c r="F52" i="10"/>
  <c r="C45" i="10"/>
  <c r="F39" i="10" s="1"/>
  <c r="F42" i="10" s="1"/>
  <c r="F12" i="10"/>
  <c r="F45" i="10" s="1"/>
  <c r="F47" i="10" l="1"/>
  <c r="F48" i="10" s="1"/>
  <c r="F51" i="10" s="1"/>
  <c r="F53" i="10" s="1"/>
  <c r="C11" i="16" s="1"/>
  <c r="K47" i="10"/>
  <c r="K48" i="10" s="1"/>
  <c r="K51" i="10" s="1"/>
  <c r="K53" i="10" s="1"/>
  <c r="D11" i="16"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<sst xmlns="http://schemas.openxmlformats.org/spreadsheetml/2006/main" count="569" uniqueCount="508">
  <si>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</si>
  <si>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</si>
  <si>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</si>
  <si>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</si>
  <si>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</si>
  <si>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</si>
  <si>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</si>
  <si>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</si>
  <si>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</si>
  <si>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</si>
  <si>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</si>
  <si>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</si>
  <si>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</si>
  <si>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</si>
  <si>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</si>
  <si>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</si>
  <si>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</si>
  <si>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</si>
  <si>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</si>
  <si>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</si>
  <si>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</si>
  <si>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</si>
  <si>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</si>
  <si>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</si>
  <si>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</si>
  <si>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</si>
  <si>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</si>
  <si>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</si>
  <si>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</si>
  <si>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</si>
  <si>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</si>
  <si>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</si>
  <si>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</si>
  <si>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</si>
  <si>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</si>
  <si>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</si>
  <si>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</si>
  <si>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</si>
  <si>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</si>
  <si>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</si>
  <si>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</si>
  <si>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</si>
  <si>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</si>
  <si>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</si>
  <si>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</si>
  <si>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</si>
  <si>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</si>
  <si>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</si>
  <si>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</si>
  <si>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</si>
  <si>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</si>
  <si>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</si>
  <si>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</si>
  <si>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</si>
  <si>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</si>
  <si>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</si>
  <si>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</si>
  <si>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</si>
  <si>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</si>
  <si>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</si>
  <si>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</si>
  <si>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</si>
  <si>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</si>
  <si>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</si>
  <si>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</si>
  <si>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</si>
  <si>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</si>
  <si>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</si>
  <si>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</si>
  <si>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</si>
  <si>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</si>
  <si>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</si>
  <si>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</si>
  <si>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</si>
  <si>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</si>
  <si>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</si>
  <si>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</si>
  <si>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</si>
  <si>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</si>
  <si>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</si>
  <si>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</si>
  <si>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</si>
  <si>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</si>
  <si>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</si>
  <si>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</si>
  <si>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</si>
  <si>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</si>
  <si>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</si>
  <si>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</si>
  <si>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</si>
  <si>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</si>
  <si>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</si>
  <si>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</si>
  <si>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</si>
  <si>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</si>
  <si>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</si>
  <si>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</si>
  <si>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</si>
  <si>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</si>
  <si>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</si>
  <si>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</si>
  <si>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</si>
  <si>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</si>
  <si>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</si>
  <si>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</si>
  <si>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</si>
  <si>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</si>
  <si>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</si>
  <si>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</si>
  <si>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</si>
  <si>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</si>
  <si>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</si>
  <si>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</si>
  <si>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</si>
  <si>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</si>
  <si>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</si>
  <si>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</si>
  <si>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</si>
  <si>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</si>
  <si>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</si>
  <si>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</si>
  <si>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</si>
  <si>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</si>
  <si>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</si>
  <si>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</si>
  <si>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</si>
  <si>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</si>
  <si>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</si>
  <si>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</si>
  <si>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</si>
  <si>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</si>
  <si>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</si>
  <si>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</si>
  <si>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</si>
  <si>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</si>
  <si>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</si>
  <si>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</si>
  <si>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</si>
  <si>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</si>
  <si>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</si>
  <si>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</si>
  <si>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</si>
  <si>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</si>
  <si>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</si>
  <si>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</si>
  <si>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</si>
  <si>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</si>
  <si>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</si>
  <si>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</si>
  <si>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</si>
  <si>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</si>
  <si>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</si>
  <si>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</si>
  <si>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</si>
  <si>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</si>
  <si>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</si>
  <si>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</si>
  <si>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</si>
  <si>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</si>
  <si>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</si>
  <si>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</si>
  <si>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</si>
  <si>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</si>
  <si>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</si>
  <si>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</si>
  <si>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</si>
  <si>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</si>
  <si>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</si>
  <si>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</si>
  <si>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</si>
  <si>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</si>
  <si>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</si>
  <si>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</si>
  <si>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</si>
  <si>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</si>
  <si>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</si>
  <si>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</si>
  <si>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</si>
  <si>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</si>
  <si>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</si>
  <si>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</si>
  <si>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</si>
  <si>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</si>
  <si>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</si>
  <si>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</si>
  <si>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</si>
  <si>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</si>
  <si>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</si>
  <si>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</si>
  <si>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</si>
  <si>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</si>
  <si>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</si>
  <si>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</si>
  <si>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</si>
  <si>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</si>
  <si>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</si>
  <si>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</si>
  <si>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</si>
  <si>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</si>
  <si>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</si>
  <si>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</si>
  <si>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</si>
  <si>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</si>
  <si>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</si>
  <si>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</si>
  <si>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</si>
  <si>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</si>
  <si>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</si>
  <si>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</si>
  <si>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</si>
  <si>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</si>
  <si>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</si>
  <si>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</si>
  <si>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</si>
  <si>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</si>
  <si>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</si>
  <si>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</si>
  <si>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</si>
  <si>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</si>
  <si>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</si>
  <si>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</si>
  <si>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</si>
  <si>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</si>
  <si>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</si>
  <si>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</si>
  <si>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</si>
  <si>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</si>
  <si>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</si>
  <si>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</si>
  <si>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</si>
  <si>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</si>
  <si>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</si>
  <si>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</si>
  <si>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</si>
  <si>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</si>
  <si>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</si>
  <si>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</si>
  <si>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</si>
  <si>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</si>
  <si>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</si>
  <si>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</si>
  <si>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</si>
  <si>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</si>
  <si>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</si>
  <si>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</si>
  <si>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</si>
  <si>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</si>
  <si>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</si>
  <si>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</si>
  <si>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</si>
  <si>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</si>
  <si>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</si>
  <si>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</si>
  <si>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</si>
  <si>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</si>
  <si>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</si>
  <si>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</si>
  <si>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</si>
  <si>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</si>
  <si>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</si>
  <si>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</si>
  <si>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</si>
  <si>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</si>
  <si>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</si>
  <si>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</si>
  <si>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</si>
  <si>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</si>
  <si>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</si>
  <si>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</si>
  <si>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</si>
  <si>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</si>
  <si>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</si>
  <si>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</si>
  <si>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</si>
  <si>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</si>
  <si>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</si>
  <si>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</si>
  <si>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</si>
  <si>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</si>
  <si>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</si>
  <si>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</si>
  <si>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</si>
  <si>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</si>
  <si>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</si>
  <si>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</si>
  <si>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</si>
  <si>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</si>
  <si>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</si>
  <si>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</si>
  <si>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</si>
  <si>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</si>
  <si>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</si>
  <si>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</si>
  <si>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</si>
  <si>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</si>
  <si>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</si>
  <si>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</si>
  <si>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</si>
  <si>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</si>
  <si>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</si>
  <si>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</si>
  <si>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</si>
  <si>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</si>
  <si>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</si>
  <si>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</si>
  <si>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</si>
  <si>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</si>
  <si>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</si>
  <si>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</si>
  <si>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</si>
  <si>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</si>
  <si>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</si>
  <si>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</si>
  <si>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</si>
  <si>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</si>
  <si>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</si>
  <si>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</si>
  <si>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</si>
  <si>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</si>
  <si>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</si>
  <si>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</si>
  <si>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</si>
  <si>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</si>
  <si>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</si>
  <si>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</si>
  <si>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</si>
  <si>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</si>
  <si>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</si>
  <si>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</si>
  <si>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</si>
  <si>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</si>
  <si>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</si>
  <si>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</si>
  <si>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</si>
  <si>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</si>
  <si>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</si>
  <si>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</si>
  <si>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</si>
  <si>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</si>
  <si>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</si>
  <si>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</si>
  <si>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</si>
  <si>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</si>
  <si>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</si>
  <si>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</si>
  <si>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</si>
  <si>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</si>
  <si>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</si>
  <si>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</si>
  <si>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</si>
  <si>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</si>
  <si>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</si>
  <si>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</si>
  <si>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</si>
  <si>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</si>
  <si>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</si>
  <si>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</si>
  <si>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</si>
  <si>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</si>
  <si>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</si>
  <si>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</si>
  <si>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</si>
  <si>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</si>
  <si>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</si>
  <si>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</si>
  <si>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</si>
  <si>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</si>
  <si>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</si>
  <si>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</si>
  <si>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</si>
  <si>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</si>
  <si>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</si>
  <si>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</si>
  <si>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</si>
  <si>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</si>
  <si>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</si>
  <si>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</si>
  <si>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</si>
  <si>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</si>
  <si>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</si>
  <si>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</si>
  <si>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</si>
  <si>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</si>
  <si>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</si>
  <si>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</si>
  <si>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</si>
  <si>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</si>
  <si>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</si>
  <si>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</si>
  <si>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</si>
  <si>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</si>
  <si>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</si>
  <si>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</si>
  <si>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</si>
  <si>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</si>
  <si>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</si>
  <si>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</si>
  <si>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</si>
  <si>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</si>
  <si>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</si>
  <si>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</si>
  <si>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</si>
  <si>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</si>
  <si>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</si>
  <si>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</si>
  <si>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</si>
  <si>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</si>
  <si>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</si>
  <si>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</si>
  <si>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</si>
  <si>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</si>
  <si>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</si>
  <si>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</si>
  <si>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</si>
  <si>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</si>
  <si>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</si>
  <si>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</si>
  <si>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</si>
  <si>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</si>
  <si>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</si>
  <si>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</si>
  <si>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</si>
  <si>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</si>
  <si>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</si>
  <si>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</si>
  <si>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</si>
  <si>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</si>
  <si>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</si>
  <si>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</si>
  <si>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</si>
  <si>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</si>
  <si>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</si>
  <si>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</si>
  <si>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</si>
  <si>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</si>
  <si>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</si>
  <si>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</si>
  <si>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</si>
  <si>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</si>
  <si>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</si>
  <si>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</si>
  <si>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</si>
  <si>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</si>
  <si>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</si>
  <si>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</si>
  <si>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</si>
  <si>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</si>
  <si>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</si>
  <si>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</si>
  <si>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</si>
  <si>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</si>
  <si>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</si>
  <si>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</si>
  <si>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</si>
  <si>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</si>
  <si>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</si>
  <si>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</si>
  <si>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</si>
  <si>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</si>
  <si>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</si>
  <si>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</si>
  <si>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</si>
  <si>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</si>
  <si>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</si>
  <si>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</si>
  <si>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</si>
  <si>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</si>
  <si>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</si>
  <si>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</si>
  <si>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</si>
  <si>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</si>
  <si>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</si>
  <si>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</si>
  <si>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</si>
  <si>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</si>
  <si>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</si>
  <si>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</si>
  <si>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</si>
  <si>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</si>
  <si>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</si>
  <si>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</si>
  <si>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</si>
  <si>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</si>
  <si>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</si>
  <si>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</si>
  <si>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</si>
  <si>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</si>
  <si>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</si>
  <si>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</si>
  <si>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</si>
  <si>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</si>
  <si>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</si>
  <si>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</si>
  <si>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</si>
  <si>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</si>
  <si>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</si>
  <si>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</si>
  <si>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</si>
  <si>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</si>
  <si>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</si>
  <si>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</si>
  <si>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</si>
  <si>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</si>
  <si>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</si>
  <si>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</si>
  <si>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82120</t>
  </si>
  <si>
    <t>219</t>
  </si>
  <si>
    <t>Humana Health Plan,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</si>
</sst>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185</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70246998</v>
      </c>
      <c r="E5" s="213">
        <f>SUM('Pt 2 Premium and Claims'!E$5,'Pt 2 Premium and Claims'!E$6,-'Pt 2 Premium and Claims'!E$7,-'Pt 2 Premium and Claims'!E$13,'Pt 2 Premium and Claims'!E$14:'Pt 2 Premium and Claims'!E$17)</f>
        <v>87362427.018132791</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60624382</v>
      </c>
      <c r="J5" s="212">
        <f>SUM('Pt 2 Premium and Claims'!J$5,'Pt 2 Premium and Claims'!J$6,-'Pt 2 Premium and Claims'!J$7,-'Pt 2 Premium and Claims'!J$13,'Pt 2 Premium and Claims'!J$14,'Pt 2 Premium and Claims'!J$16:'Pt 2 Premium and Claims'!J$17)</f>
        <v>124932428</v>
      </c>
      <c r="K5" s="213">
        <f>SUM('Pt 2 Premium and Claims'!K$5,'Pt 2 Premium and Claims'!K$6,-'Pt 2 Premium and Claims'!K$7,-'Pt 2 Premium and Claims'!K$13,'Pt 2 Premium and Claims'!K$14,'Pt 2 Premium and Claims'!K$16:'Pt 2 Premium and Claims'!K$17)</f>
        <v>122766324.5913289</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35240600</v>
      </c>
      <c r="Q5" s="213">
        <f>SUM('Pt 2 Premium and Claims'!Q$5,'Pt 2 Premium and Claims'!Q$6,-'Pt 2 Premium and Claims'!Q$7,-'Pt 2 Premium and Claims'!Q$13,'Pt 2 Premium and Claims'!Q$14)</f>
        <v>33755300.189167</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11774120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-1126</v>
      </c>
      <c r="E7" s="217">
        <v>-1126.33</v>
      </c>
      <c r="F7" s="217"/>
      <c r="G7" s="217"/>
      <c r="H7" s="217"/>
      <c r="I7" s="216">
        <v>0</v>
      </c>
      <c r="J7" s="216">
        <v>-2027</v>
      </c>
      <c r="K7" s="217">
        <v>-1929</v>
      </c>
      <c r="L7" s="217"/>
      <c r="M7" s="217"/>
      <c r="N7" s="217"/>
      <c r="O7" s="216"/>
      <c r="P7" s="216">
        <v>-1544</v>
      </c>
      <c r="Q7" s="217">
        <v>-1489.72</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-114</v>
      </c>
      <c r="AU7" s="220">
        <v>0</v>
      </c>
      <c r="AV7" s="290"/>
      <c r="AW7" s="297"/>
    </row>
    <row r="8" spans="1:49" ht="25.5" x14ac:dyDescent="0.2">
      <c r="B8" s="239" t="s">
        <v>225</v>
      </c>
      <c r="C8" s="203" t="s">
        <v>59</v>
      </c>
      <c r="D8" s="216">
        <v>-600117</v>
      </c>
      <c r="E8" s="268"/>
      <c r="F8" s="269"/>
      <c r="G8" s="269"/>
      <c r="H8" s="269"/>
      <c r="I8" s="272"/>
      <c r="J8" s="216">
        <v>-215938</v>
      </c>
      <c r="K8" s="268"/>
      <c r="L8" s="269"/>
      <c r="M8" s="269"/>
      <c r="N8" s="269"/>
      <c r="O8" s="272"/>
      <c r="P8" s="216">
        <v>-53030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-466700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66055012</v>
      </c>
      <c r="E12" s="213">
        <f>'Pt 2 Premium and Claims'!E$54</f>
        <v>83685155.4745</v>
      </c>
      <c r="F12" s="213">
        <f>'Pt 2 Premium and Claims'!F$54</f>
        <v>0</v>
      </c>
      <c r="G12" s="213">
        <f>'Pt 2 Premium and Claims'!G$54</f>
        <v>0</v>
      </c>
      <c r="H12" s="213">
        <f>'Pt 2 Premium and Claims'!H$54</f>
        <v>0</v>
      </c>
      <c r="I12" s="212">
        <f>'Pt 2 Premium and Claims'!I$54</f>
        <v>65203977</v>
      </c>
      <c r="J12" s="212">
        <f>'Pt 2 Premium and Claims'!J$54</f>
        <v>99448007</v>
      </c>
      <c r="K12" s="213">
        <f>'Pt 2 Premium and Claims'!K$54</f>
        <v>95906200.631581888</v>
      </c>
      <c r="L12" s="213">
        <f>'Pt 2 Premium and Claims'!L$54</f>
        <v>0</v>
      </c>
      <c r="M12" s="213">
        <f>'Pt 2 Premium and Claims'!M$54</f>
        <v>0</v>
      </c>
      <c r="N12" s="213">
        <f>'Pt 2 Premium and Claims'!N$54</f>
        <v>0</v>
      </c>
      <c r="O12" s="212">
        <f>'Pt 2 Premium and Claims'!O$54</f>
        <v>0</v>
      </c>
      <c r="P12" s="212">
        <f>'Pt 2 Premium and Claims'!P$54</f>
        <v>27767916</v>
      </c>
      <c r="Q12" s="213">
        <f>'Pt 2 Premium and Claims'!Q$54</f>
        <v>27949237.646030556</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7078417</v>
      </c>
      <c r="AU12" s="214">
        <f>'Pt 2 Premium and Claims'!AU$54</f>
        <v>0</v>
      </c>
      <c r="AV12" s="291"/>
      <c r="AW12" s="296"/>
    </row>
    <row r="13" spans="1:49" ht="25.5" x14ac:dyDescent="0.2">
      <c r="B13" s="239" t="s">
        <v>230</v>
      </c>
      <c r="C13" s="203" t="s">
        <v>37</v>
      </c>
      <c r="D13" s="216">
        <v>13587470</v>
      </c>
      <c r="E13" s="217">
        <v>14398119.68</v>
      </c>
      <c r="F13" s="217"/>
      <c r="G13" s="268"/>
      <c r="H13" s="269"/>
      <c r="I13" s="216">
        <v>11535682</v>
      </c>
      <c r="J13" s="216">
        <v>24637272</v>
      </c>
      <c r="K13" s="217">
        <v>24417894.868826907</v>
      </c>
      <c r="L13" s="217"/>
      <c r="M13" s="268"/>
      <c r="N13" s="269"/>
      <c r="O13" s="216"/>
      <c r="P13" s="216">
        <v>5471282</v>
      </c>
      <c r="Q13" s="217">
        <v>5636510.35742239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99083</v>
      </c>
      <c r="AU13" s="220">
        <v>0</v>
      </c>
      <c r="AV13" s="290"/>
      <c r="AW13" s="297"/>
    </row>
    <row r="14" spans="1:49" ht="25.5" x14ac:dyDescent="0.2">
      <c r="B14" s="239" t="s">
        <v>231</v>
      </c>
      <c r="C14" s="203" t="s">
        <v>6</v>
      </c>
      <c r="D14" s="216">
        <v>1859283</v>
      </c>
      <c r="E14" s="217">
        <v>1806503.79</v>
      </c>
      <c r="F14" s="217"/>
      <c r="G14" s="267"/>
      <c r="H14" s="270"/>
      <c r="I14" s="216">
        <v>1429538</v>
      </c>
      <c r="J14" s="216">
        <v>3599798</v>
      </c>
      <c r="K14" s="217">
        <v>3603791.6482665394</v>
      </c>
      <c r="L14" s="217"/>
      <c r="M14" s="267"/>
      <c r="N14" s="270"/>
      <c r="O14" s="216"/>
      <c r="P14" s="216">
        <v>736753</v>
      </c>
      <c r="Q14" s="217">
        <v>775278.89702016534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5</v>
      </c>
      <c r="AU14" s="220">
        <v>0</v>
      </c>
      <c r="AV14" s="290"/>
      <c r="AW14" s="297"/>
    </row>
    <row r="15" spans="1:49" ht="38.25" x14ac:dyDescent="0.2">
      <c r="B15" s="239" t="s">
        <v>232</v>
      </c>
      <c r="C15" s="203" t="s">
        <v>7</v>
      </c>
      <c r="D15" s="216">
        <v>68</v>
      </c>
      <c r="E15" s="217">
        <v>68.41</v>
      </c>
      <c r="F15" s="217"/>
      <c r="G15" s="267"/>
      <c r="H15" s="273"/>
      <c r="I15" s="216">
        <v>45</v>
      </c>
      <c r="J15" s="216">
        <v>106</v>
      </c>
      <c r="K15" s="217">
        <v>102.61033950938707</v>
      </c>
      <c r="L15" s="217"/>
      <c r="M15" s="267"/>
      <c r="N15" s="273"/>
      <c r="O15" s="216"/>
      <c r="P15" s="216">
        <v>32</v>
      </c>
      <c r="Q15" s="217">
        <v>31.139660490612933</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10</v>
      </c>
      <c r="AU15" s="220">
        <v>0</v>
      </c>
      <c r="AV15" s="290"/>
      <c r="AW15" s="297"/>
    </row>
    <row r="16" spans="1:49" ht="25.5" x14ac:dyDescent="0.2">
      <c r="B16" s="239" t="s">
        <v>233</v>
      </c>
      <c r="C16" s="203" t="s">
        <v>61</v>
      </c>
      <c r="D16" s="216">
        <v>-7884296</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-339069</v>
      </c>
      <c r="AU16" s="220">
        <v>0</v>
      </c>
      <c r="AV16" s="290"/>
      <c r="AW16" s="297"/>
    </row>
    <row r="17" spans="1:49" x14ac:dyDescent="0.2">
      <c r="B17" s="239" t="s">
        <v>234</v>
      </c>
      <c r="C17" s="203" t="s">
        <v>62</v>
      </c>
      <c r="D17" s="216">
        <v>2219138</v>
      </c>
      <c r="E17" s="267"/>
      <c r="F17" s="270"/>
      <c r="G17" s="270"/>
      <c r="H17" s="270"/>
      <c r="I17" s="271"/>
      <c r="J17" s="216">
        <v>1352953</v>
      </c>
      <c r="K17" s="267"/>
      <c r="L17" s="270"/>
      <c r="M17" s="270"/>
      <c r="N17" s="270"/>
      <c r="O17" s="271"/>
      <c r="P17" s="216">
        <v>-320962</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1</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809878</v>
      </c>
      <c r="E19" s="267"/>
      <c r="F19" s="270"/>
      <c r="G19" s="270"/>
      <c r="H19" s="270"/>
      <c r="I19" s="271"/>
      <c r="J19" s="216">
        <v>1353066</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113</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141904.67000000001</v>
      </c>
      <c r="E22" s="222">
        <f>'Pt 2 Premium and Claims'!E$55</f>
        <v>141904.67000000001</v>
      </c>
      <c r="F22" s="222">
        <f>'Pt 2 Premium and Claims'!F$55</f>
        <v>0</v>
      </c>
      <c r="G22" s="222">
        <f>'Pt 2 Premium and Claims'!G$55</f>
        <v>0</v>
      </c>
      <c r="H22" s="222">
        <f>'Pt 2 Premium and Claims'!H$55</f>
        <v>0</v>
      </c>
      <c r="I22" s="221">
        <f>'Pt 2 Premium and Claims'!I$55</f>
        <v>86230</v>
      </c>
      <c r="J22" s="221">
        <f>'Pt 2 Premium and Claims'!J$55</f>
        <v>190857.77</v>
      </c>
      <c r="K22" s="222">
        <f>'Pt 2 Premium and Claims'!K$55</f>
        <v>184754.57862131242</v>
      </c>
      <c r="L22" s="222">
        <f>'Pt 2 Premium and Claims'!L$55</f>
        <v>0</v>
      </c>
      <c r="M22" s="222">
        <f>'Pt 2 Premium and Claims'!M$55</f>
        <v>0</v>
      </c>
      <c r="N22" s="222">
        <f>'Pt 2 Premium and Claims'!N$55</f>
        <v>0</v>
      </c>
      <c r="O22" s="221">
        <f>'Pt 2 Premium and Claims'!O$55</f>
        <v>0</v>
      </c>
      <c r="P22" s="221">
        <f>'Pt 2 Premium and Claims'!P$55</f>
        <v>58683.92</v>
      </c>
      <c r="Q22" s="222">
        <f>'Pt 2 Premium and Claims'!Q$55</f>
        <v>56679.961378687571</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-2731782.53</v>
      </c>
      <c r="E25" s="217">
        <v>-2731782.2733094911</v>
      </c>
      <c r="F25" s="217"/>
      <c r="G25" s="217"/>
      <c r="H25" s="217"/>
      <c r="I25" s="216">
        <v>-6601840</v>
      </c>
      <c r="J25" s="216">
        <v>1685910.12</v>
      </c>
      <c r="K25" s="217">
        <v>1721592.6675447144</v>
      </c>
      <c r="L25" s="217"/>
      <c r="M25" s="217"/>
      <c r="N25" s="217"/>
      <c r="O25" s="216"/>
      <c r="P25" s="216">
        <v>-1377945.19</v>
      </c>
      <c r="Q25" s="217">
        <v>-1866767.1967473791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456849.49</v>
      </c>
      <c r="AU25" s="220"/>
      <c r="AV25" s="220"/>
      <c r="AW25" s="297"/>
    </row>
    <row r="26" spans="1:49" s="5" customFormat="1" x14ac:dyDescent="0.2">
      <c r="A26" s="35"/>
      <c r="B26" s="242" t="s">
        <v>242</v>
      </c>
      <c r="C26" s="203"/>
      <c r="D26" s="216">
        <v>56434.12</v>
      </c>
      <c r="E26" s="217">
        <v>56434.12</v>
      </c>
      <c r="F26" s="217"/>
      <c r="G26" s="217"/>
      <c r="H26" s="217"/>
      <c r="I26" s="216">
        <v>26516</v>
      </c>
      <c r="J26" s="216">
        <v>63575.31</v>
      </c>
      <c r="K26" s="217">
        <v>60890.552844367165</v>
      </c>
      <c r="L26" s="217"/>
      <c r="M26" s="217"/>
      <c r="N26" s="217"/>
      <c r="O26" s="216"/>
      <c r="P26" s="216">
        <v>22656.55</v>
      </c>
      <c r="Q26" s="217">
        <v>21466.297155632838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1354806.87</v>
      </c>
      <c r="E27" s="217">
        <v>1354806.87</v>
      </c>
      <c r="F27" s="217"/>
      <c r="G27" s="217"/>
      <c r="H27" s="217"/>
      <c r="I27" s="216">
        <v>893418</v>
      </c>
      <c r="J27" s="216">
        <v>2102013.96</v>
      </c>
      <c r="K27" s="217">
        <v>2030957.3646105465</v>
      </c>
      <c r="L27" s="217"/>
      <c r="M27" s="217"/>
      <c r="N27" s="217"/>
      <c r="O27" s="216"/>
      <c r="P27" s="216">
        <v>615265</v>
      </c>
      <c r="Q27" s="217">
        <v>593857.07538945356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41694.97</v>
      </c>
      <c r="AU27" s="220"/>
      <c r="AV27" s="293"/>
      <c r="AW27" s="297"/>
    </row>
    <row r="28" spans="1:49" s="5" customFormat="1" x14ac:dyDescent="0.2">
      <c r="A28" s="35"/>
      <c r="B28" s="242" t="s">
        <v>244</v>
      </c>
      <c r="C28" s="203"/>
      <c r="D28" s="216">
        <v>243863.28</v>
      </c>
      <c r="E28" s="217">
        <v>243863.28</v>
      </c>
      <c r="F28" s="217"/>
      <c r="G28" s="217"/>
      <c r="H28" s="217"/>
      <c r="I28" s="216">
        <v>127622</v>
      </c>
      <c r="J28" s="216">
        <v>238005.41</v>
      </c>
      <c r="K28" s="217">
        <v>230271.85827911983</v>
      </c>
      <c r="L28" s="217"/>
      <c r="M28" s="217"/>
      <c r="N28" s="217"/>
      <c r="O28" s="216"/>
      <c r="P28" s="216">
        <v>82469.16</v>
      </c>
      <c r="Q28" s="217">
        <v>79408.831720880189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26434.34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-182603.71</v>
      </c>
      <c r="E30" s="217">
        <v>-182603.6899133655</v>
      </c>
      <c r="F30" s="217"/>
      <c r="G30" s="217"/>
      <c r="H30" s="217"/>
      <c r="I30" s="216">
        <v>-499844</v>
      </c>
      <c r="J30" s="216">
        <v>162698.93</v>
      </c>
      <c r="K30" s="217">
        <v>164584.5412805347</v>
      </c>
      <c r="L30" s="217"/>
      <c r="M30" s="217"/>
      <c r="N30" s="217"/>
      <c r="O30" s="216"/>
      <c r="P30" s="216">
        <v>-97637.13</v>
      </c>
      <c r="Q30" s="217">
        <v>-136252.32442973659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39206.06</v>
      </c>
      <c r="AU30" s="220"/>
      <c r="AV30" s="220"/>
      <c r="AW30" s="297"/>
    </row>
    <row r="31" spans="1:49" x14ac:dyDescent="0.2">
      <c r="B31" s="242" t="s">
        <v>247</v>
      </c>
      <c r="C31" s="203"/>
      <c r="D31" s="216">
        <v>1554191.99</v>
      </c>
      <c r="E31" s="217">
        <v>1554191.99</v>
      </c>
      <c r="F31" s="217"/>
      <c r="G31" s="217"/>
      <c r="H31" s="217"/>
      <c r="I31" s="216">
        <v>1022634</v>
      </c>
      <c r="J31" s="216">
        <v>2544579.77</v>
      </c>
      <c r="K31" s="217">
        <v>2460464.5551649122</v>
      </c>
      <c r="L31" s="217"/>
      <c r="M31" s="217"/>
      <c r="N31" s="217"/>
      <c r="O31" s="216"/>
      <c r="P31" s="216">
        <v>705064.24</v>
      </c>
      <c r="Q31" s="217">
        <v>677531.41483508795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228465.92000000001</v>
      </c>
      <c r="AU31" s="220"/>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657949.46</v>
      </c>
      <c r="E34" s="217">
        <v>1081252.94</v>
      </c>
      <c r="F34" s="217"/>
      <c r="G34" s="217"/>
      <c r="H34" s="217"/>
      <c r="I34" s="216">
        <v>564918</v>
      </c>
      <c r="J34" s="216">
        <v>1208499.56</v>
      </c>
      <c r="K34" s="217">
        <v>1209240.3363740018</v>
      </c>
      <c r="L34" s="217"/>
      <c r="M34" s="217"/>
      <c r="N34" s="217"/>
      <c r="O34" s="216"/>
      <c r="P34" s="216">
        <v>355773.91</v>
      </c>
      <c r="Q34" s="217">
        <v>355033.13362599822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1215243.8500000001</v>
      </c>
      <c r="E35" s="217">
        <v>1215243.8500000001</v>
      </c>
      <c r="F35" s="217"/>
      <c r="G35" s="217"/>
      <c r="H35" s="217"/>
      <c r="I35" s="216">
        <v>1179988</v>
      </c>
      <c r="J35" s="216">
        <v>90396.56</v>
      </c>
      <c r="K35" s="217">
        <v>87591.284685464707</v>
      </c>
      <c r="L35" s="217"/>
      <c r="M35" s="217"/>
      <c r="N35" s="217"/>
      <c r="O35" s="216"/>
      <c r="P35" s="216">
        <v>24959.93</v>
      </c>
      <c r="Q35" s="217">
        <v>24025.765314535296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61153.09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260458</v>
      </c>
      <c r="E37" s="225">
        <v>260458.37</v>
      </c>
      <c r="F37" s="225"/>
      <c r="G37" s="225"/>
      <c r="H37" s="225"/>
      <c r="I37" s="224">
        <v>137334</v>
      </c>
      <c r="J37" s="224">
        <v>290455</v>
      </c>
      <c r="K37" s="225">
        <v>286056.68140909093</v>
      </c>
      <c r="L37" s="225"/>
      <c r="M37" s="225"/>
      <c r="N37" s="225"/>
      <c r="O37" s="224"/>
      <c r="P37" s="224">
        <v>161489</v>
      </c>
      <c r="Q37" s="225">
        <v>144637.35859090908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481</v>
      </c>
      <c r="AU37" s="226">
        <v>0</v>
      </c>
      <c r="AV37" s="226">
        <v>111825</v>
      </c>
      <c r="AW37" s="296"/>
    </row>
    <row r="38" spans="1:49" x14ac:dyDescent="0.2">
      <c r="B38" s="239" t="s">
        <v>254</v>
      </c>
      <c r="C38" s="203" t="s">
        <v>16</v>
      </c>
      <c r="D38" s="216">
        <v>69912</v>
      </c>
      <c r="E38" s="217">
        <v>69911.87</v>
      </c>
      <c r="F38" s="217"/>
      <c r="G38" s="217"/>
      <c r="H38" s="217"/>
      <c r="I38" s="216">
        <v>26153</v>
      </c>
      <c r="J38" s="216">
        <v>25100</v>
      </c>
      <c r="K38" s="217">
        <v>24412.768134579073</v>
      </c>
      <c r="L38" s="217"/>
      <c r="M38" s="217"/>
      <c r="N38" s="217"/>
      <c r="O38" s="216"/>
      <c r="P38" s="216">
        <v>105151</v>
      </c>
      <c r="Q38" s="217">
        <v>86080.641865420926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v>
      </c>
      <c r="AU38" s="220">
        <v>0</v>
      </c>
      <c r="AV38" s="220">
        <v>121388</v>
      </c>
      <c r="AW38" s="297"/>
    </row>
    <row r="39" spans="1:49" x14ac:dyDescent="0.2">
      <c r="B39" s="242" t="s">
        <v>255</v>
      </c>
      <c r="C39" s="203" t="s">
        <v>17</v>
      </c>
      <c r="D39" s="216">
        <v>146378</v>
      </c>
      <c r="E39" s="217">
        <v>146377.66</v>
      </c>
      <c r="F39" s="217"/>
      <c r="G39" s="217"/>
      <c r="H39" s="217"/>
      <c r="I39" s="216">
        <v>83860</v>
      </c>
      <c r="J39" s="216">
        <v>183690</v>
      </c>
      <c r="K39" s="217">
        <v>182806.56004295943</v>
      </c>
      <c r="L39" s="217"/>
      <c r="M39" s="217"/>
      <c r="N39" s="217"/>
      <c r="O39" s="216"/>
      <c r="P39" s="216">
        <v>69817</v>
      </c>
      <c r="Q39" s="217">
        <v>66243.389957040577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1925</v>
      </c>
      <c r="AU39" s="220">
        <v>0</v>
      </c>
      <c r="AV39" s="220">
        <v>27683</v>
      </c>
      <c r="AW39" s="297"/>
    </row>
    <row r="40" spans="1:49" x14ac:dyDescent="0.2">
      <c r="B40" s="242" t="s">
        <v>256</v>
      </c>
      <c r="C40" s="203" t="s">
        <v>38</v>
      </c>
      <c r="D40" s="216">
        <v>328530</v>
      </c>
      <c r="E40" s="217">
        <v>328530.40000000002</v>
      </c>
      <c r="F40" s="217"/>
      <c r="G40" s="217"/>
      <c r="H40" s="217"/>
      <c r="I40" s="216">
        <v>79312</v>
      </c>
      <c r="J40" s="216">
        <v>1256658</v>
      </c>
      <c r="K40" s="217">
        <v>1252810.1378508783</v>
      </c>
      <c r="L40" s="217"/>
      <c r="M40" s="217"/>
      <c r="N40" s="217"/>
      <c r="O40" s="216"/>
      <c r="P40" s="216">
        <v>476033</v>
      </c>
      <c r="Q40" s="217">
        <v>461104.69214912178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11046</v>
      </c>
      <c r="AU40" s="220">
        <v>0</v>
      </c>
      <c r="AV40" s="220">
        <v>117780</v>
      </c>
      <c r="AW40" s="297"/>
    </row>
    <row r="41" spans="1:49" s="5" customFormat="1" ht="25.5" x14ac:dyDescent="0.2">
      <c r="A41" s="35"/>
      <c r="B41" s="242" t="s">
        <v>257</v>
      </c>
      <c r="C41" s="203" t="s">
        <v>129</v>
      </c>
      <c r="D41" s="216">
        <v>151898</v>
      </c>
      <c r="E41" s="217">
        <v>151897.78</v>
      </c>
      <c r="F41" s="217"/>
      <c r="G41" s="217"/>
      <c r="H41" s="217"/>
      <c r="I41" s="216">
        <v>66143</v>
      </c>
      <c r="J41" s="216">
        <v>193189</v>
      </c>
      <c r="K41" s="217">
        <v>187184.43812743179</v>
      </c>
      <c r="L41" s="217"/>
      <c r="M41" s="217"/>
      <c r="N41" s="217"/>
      <c r="O41" s="216"/>
      <c r="P41" s="216">
        <v>54817</v>
      </c>
      <c r="Q41" s="217">
        <v>52886.4918725682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18791</v>
      </c>
      <c r="AU41" s="220">
        <v>0</v>
      </c>
      <c r="AV41" s="220">
        <v>15200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1025421</v>
      </c>
      <c r="E44" s="225">
        <v>1025421.26</v>
      </c>
      <c r="F44" s="225"/>
      <c r="G44" s="225"/>
      <c r="H44" s="225"/>
      <c r="I44" s="224">
        <v>675048</v>
      </c>
      <c r="J44" s="224">
        <v>1321230</v>
      </c>
      <c r="K44" s="225">
        <v>1295373.8779497026</v>
      </c>
      <c r="L44" s="225"/>
      <c r="M44" s="225"/>
      <c r="N44" s="225"/>
      <c r="O44" s="224"/>
      <c r="P44" s="224">
        <v>418248</v>
      </c>
      <c r="Q44" s="225">
        <v>405223.20205029752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70175</v>
      </c>
      <c r="AU44" s="226">
        <v>0</v>
      </c>
      <c r="AV44" s="226">
        <v>141946</v>
      </c>
      <c r="AW44" s="296"/>
    </row>
    <row r="45" spans="1:49" x14ac:dyDescent="0.2">
      <c r="B45" s="245" t="s">
        <v>261</v>
      </c>
      <c r="C45" s="203" t="s">
        <v>19</v>
      </c>
      <c r="D45" s="216">
        <v>1010271</v>
      </c>
      <c r="E45" s="217">
        <v>1010270.72</v>
      </c>
      <c r="F45" s="217"/>
      <c r="G45" s="217"/>
      <c r="H45" s="217"/>
      <c r="I45" s="216">
        <v>596767</v>
      </c>
      <c r="J45" s="216">
        <v>874726</v>
      </c>
      <c r="K45" s="217">
        <v>860529.78643247695</v>
      </c>
      <c r="L45" s="217"/>
      <c r="M45" s="217"/>
      <c r="N45" s="217"/>
      <c r="O45" s="216"/>
      <c r="P45" s="216">
        <v>266469</v>
      </c>
      <c r="Q45" s="217">
        <v>261715.09356752306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92373</v>
      </c>
      <c r="AU45" s="220">
        <v>0</v>
      </c>
      <c r="AV45" s="220">
        <v>82565</v>
      </c>
      <c r="AW45" s="297"/>
    </row>
    <row r="46" spans="1:49" x14ac:dyDescent="0.2">
      <c r="B46" s="245" t="s">
        <v>262</v>
      </c>
      <c r="C46" s="203" t="s">
        <v>20</v>
      </c>
      <c r="D46" s="216">
        <v>301330</v>
      </c>
      <c r="E46" s="217">
        <v>301329.64</v>
      </c>
      <c r="F46" s="217"/>
      <c r="G46" s="217"/>
      <c r="H46" s="217"/>
      <c r="I46" s="216">
        <v>257001</v>
      </c>
      <c r="J46" s="216">
        <v>557571</v>
      </c>
      <c r="K46" s="217">
        <v>538996.25159218383</v>
      </c>
      <c r="L46" s="217"/>
      <c r="M46" s="217"/>
      <c r="N46" s="217"/>
      <c r="O46" s="216"/>
      <c r="P46" s="216">
        <v>182172</v>
      </c>
      <c r="Q46" s="217">
        <v>175977.83840781619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33749</v>
      </c>
      <c r="AU46" s="220">
        <v>0</v>
      </c>
      <c r="AV46" s="220">
        <v>73269</v>
      </c>
      <c r="AW46" s="297"/>
    </row>
    <row r="47" spans="1:49" x14ac:dyDescent="0.2">
      <c r="B47" s="245" t="s">
        <v>263</v>
      </c>
      <c r="C47" s="203" t="s">
        <v>21</v>
      </c>
      <c r="D47" s="216">
        <v>3104694</v>
      </c>
      <c r="E47" s="217">
        <v>3104694.1</v>
      </c>
      <c r="F47" s="217"/>
      <c r="G47" s="217"/>
      <c r="H47" s="217"/>
      <c r="I47" s="216">
        <v>2118998</v>
      </c>
      <c r="J47" s="216">
        <v>6181260</v>
      </c>
      <c r="K47" s="217">
        <v>6181733.4842615211</v>
      </c>
      <c r="L47" s="217"/>
      <c r="M47" s="217"/>
      <c r="N47" s="217"/>
      <c r="O47" s="216"/>
      <c r="P47" s="216">
        <v>1552054</v>
      </c>
      <c r="Q47" s="217">
        <v>1547564.3057384789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3372743</v>
      </c>
      <c r="AU47" s="220">
        <v>0</v>
      </c>
      <c r="AV47" s="220">
        <v>74252</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-69833.17</v>
      </c>
      <c r="E49" s="217">
        <v>-69833.17</v>
      </c>
      <c r="F49" s="217"/>
      <c r="G49" s="217"/>
      <c r="H49" s="217"/>
      <c r="I49" s="216">
        <v>-75627</v>
      </c>
      <c r="J49" s="216">
        <v>61071.54</v>
      </c>
      <c r="K49" s="217">
        <v>49504.372427819391</v>
      </c>
      <c r="L49" s="217"/>
      <c r="M49" s="217"/>
      <c r="N49" s="217"/>
      <c r="O49" s="216"/>
      <c r="P49" s="216">
        <v>-39632.980000000003</v>
      </c>
      <c r="Q49" s="217">
        <v>-41057.622427819391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13703.01</v>
      </c>
      <c r="AU49" s="220"/>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7628205</v>
      </c>
      <c r="E51" s="217">
        <v>7628204.8600000003</v>
      </c>
      <c r="F51" s="217"/>
      <c r="G51" s="217"/>
      <c r="H51" s="217"/>
      <c r="I51" s="216">
        <v>3910352</v>
      </c>
      <c r="J51" s="216">
        <v>7352979</v>
      </c>
      <c r="K51" s="217">
        <v>7115472.4089400088</v>
      </c>
      <c r="L51" s="217"/>
      <c r="M51" s="217"/>
      <c r="N51" s="217"/>
      <c r="O51" s="216"/>
      <c r="P51" s="216">
        <v>2397502</v>
      </c>
      <c r="Q51" s="217">
        <v>2305769.411059991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-1008868</v>
      </c>
      <c r="AU51" s="220">
        <v>0</v>
      </c>
      <c r="AV51" s="220">
        <v>731477</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14759</v>
      </c>
      <c r="E56" s="229">
        <v>14759</v>
      </c>
      <c r="F56" s="229"/>
      <c r="G56" s="229"/>
      <c r="H56" s="229"/>
      <c r="I56" s="228">
        <v>8877</v>
      </c>
      <c r="J56" s="228">
        <v>22028</v>
      </c>
      <c r="K56" s="229">
        <v>18691</v>
      </c>
      <c r="L56" s="229"/>
      <c r="M56" s="229"/>
      <c r="N56" s="229"/>
      <c r="O56" s="228"/>
      <c r="P56" s="228">
        <v>5821</v>
      </c>
      <c r="Q56" s="229">
        <v>4638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14985</v>
      </c>
      <c r="AU56" s="230">
        <v>0</v>
      </c>
      <c r="AV56" s="230">
        <v>1293</v>
      </c>
      <c r="AW56" s="288"/>
    </row>
    <row r="57" spans="2:49" x14ac:dyDescent="0.2">
      <c r="B57" s="245" t="s">
        <v>272</v>
      </c>
      <c r="C57" s="203" t="s">
        <v>25</v>
      </c>
      <c r="D57" s="231">
        <v>23194</v>
      </c>
      <c r="E57" s="232">
        <v>23194</v>
      </c>
      <c r="F57" s="232"/>
      <c r="G57" s="232"/>
      <c r="H57" s="232"/>
      <c r="I57" s="231">
        <v>12949</v>
      </c>
      <c r="J57" s="231">
        <v>36890</v>
      </c>
      <c r="K57" s="232">
        <v>31638</v>
      </c>
      <c r="L57" s="232"/>
      <c r="M57" s="232"/>
      <c r="N57" s="232"/>
      <c r="O57" s="231"/>
      <c r="P57" s="231">
        <v>9674</v>
      </c>
      <c r="Q57" s="232">
        <v>7425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20115</v>
      </c>
      <c r="AU57" s="233">
        <v>0</v>
      </c>
      <c r="AV57" s="233">
        <v>2358</v>
      </c>
      <c r="AW57" s="289"/>
    </row>
    <row r="58" spans="2:49" x14ac:dyDescent="0.2">
      <c r="B58" s="245" t="s">
        <v>273</v>
      </c>
      <c r="C58" s="203" t="s">
        <v>26</v>
      </c>
      <c r="D58" s="309"/>
      <c r="E58" s="310"/>
      <c r="F58" s="310"/>
      <c r="G58" s="310"/>
      <c r="H58" s="310"/>
      <c r="I58" s="309"/>
      <c r="J58" s="231">
        <v>1836</v>
      </c>
      <c r="K58" s="232">
        <v>1836</v>
      </c>
      <c r="L58" s="232"/>
      <c r="M58" s="232"/>
      <c r="N58" s="232"/>
      <c r="O58" s="231"/>
      <c r="P58" s="231">
        <v>56</v>
      </c>
      <c r="Q58" s="232">
        <v>56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106</v>
      </c>
      <c r="AU58" s="233">
        <v>0</v>
      </c>
      <c r="AV58" s="233">
        <v>3</v>
      </c>
      <c r="AW58" s="289"/>
    </row>
    <row r="59" spans="2:49" x14ac:dyDescent="0.2">
      <c r="B59" s="245" t="s">
        <v>274</v>
      </c>
      <c r="C59" s="203" t="s">
        <v>27</v>
      </c>
      <c r="D59" s="231">
        <v>296394</v>
      </c>
      <c r="E59" s="232">
        <v>296844</v>
      </c>
      <c r="F59" s="232"/>
      <c r="G59" s="232"/>
      <c r="H59" s="232"/>
      <c r="I59" s="231">
        <v>161017</v>
      </c>
      <c r="J59" s="231">
        <v>435404</v>
      </c>
      <c r="K59" s="232">
        <v>343106</v>
      </c>
      <c r="L59" s="232"/>
      <c r="M59" s="232"/>
      <c r="N59" s="232"/>
      <c r="O59" s="231"/>
      <c r="P59" s="231">
        <v>123759</v>
      </c>
      <c r="Q59" s="232">
        <v>96204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259850</v>
      </c>
      <c r="AU59" s="233">
        <v>0</v>
      </c>
      <c r="AV59" s="233">
        <v>28147</v>
      </c>
      <c r="AW59" s="289"/>
    </row>
    <row r="60" spans="2:49" x14ac:dyDescent="0.2">
      <c r="B60" s="245" t="s">
        <v>275</v>
      </c>
      <c r="C60" s="203"/>
      <c r="D60" s="234">
        <f t="shared" ref="D60:AC60" si="0">D$59/12</f>
        <v>24699.5</v>
      </c>
      <c r="E60" s="235">
        <f t="shared" si="0"/>
        <v>24737</v>
      </c>
      <c r="F60" s="235">
        <f t="shared" si="0"/>
        <v>0</v>
      </c>
      <c r="G60" s="235">
        <f t="shared" si="0"/>
        <v>0</v>
      </c>
      <c r="H60" s="235">
        <f t="shared" si="0"/>
        <v>0</v>
      </c>
      <c r="I60" s="234">
        <f t="shared" si="0"/>
        <v>13418.083333333334</v>
      </c>
      <c r="J60" s="234">
        <f t="shared" si="0"/>
        <v>36283.666666666664</v>
      </c>
      <c r="K60" s="235">
        <f t="shared" si="0"/>
        <v>28592.166666666668</v>
      </c>
      <c r="L60" s="235">
        <f t="shared" si="0"/>
        <v>0</v>
      </c>
      <c r="M60" s="235">
        <f t="shared" si="0"/>
        <v>0</v>
      </c>
      <c r="N60" s="235">
        <f t="shared" si="0"/>
        <v>0</v>
      </c>
      <c r="O60" s="234">
        <f t="shared" si="0"/>
        <v>0</v>
      </c>
      <c r="P60" s="234">
        <f t="shared" si="0"/>
        <v>10313.25</v>
      </c>
      <c r="Q60" s="235">
        <f t="shared" si="0"/>
        <v>8017</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21654.166666666668</v>
      </c>
      <c r="AU60" s="236">
        <f>AU$59/12</f>
        <v>0</v>
      </c>
      <c r="AV60" s="236">
        <f>AV$59/12</f>
        <v>2345.5833333333335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70230787</v>
      </c>
      <c r="E5" s="326">
        <v>78246627.838132799</v>
      </c>
      <c r="F5" s="326"/>
      <c r="G5" s="328"/>
      <c r="H5" s="328"/>
      <c r="I5" s="325">
        <v>51508582</v>
      </c>
      <c r="J5" s="325">
        <v>124932428</v>
      </c>
      <c r="K5" s="326">
        <v>125411391.2213289</v>
      </c>
      <c r="L5" s="326"/>
      <c r="M5" s="326"/>
      <c r="N5" s="326"/>
      <c r="O5" s="325"/>
      <c r="P5" s="325">
        <v>35240600</v>
      </c>
      <c r="Q5" s="326">
        <v>33755300.189167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11776450</v>
      </c>
      <c r="AU5" s="327">
        <v>0</v>
      </c>
      <c r="AV5" s="369"/>
      <c r="AW5" s="373"/>
    </row>
    <row r="6" spans="2:49" x14ac:dyDescent="0.2">
      <c r="B6" s="343" t="s">
        <v>278</v>
      </c>
      <c r="C6" s="331" t="s">
        <v>8</v>
      </c>
      <c r="D6" s="318">
        <v>111748</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20979</v>
      </c>
      <c r="AU6" s="321">
        <v>0</v>
      </c>
      <c r="AV6" s="368"/>
      <c r="AW6" s="374"/>
    </row>
    <row r="7" spans="2:49" x14ac:dyDescent="0.2">
      <c r="B7" s="343" t="s">
        <v>279</v>
      </c>
      <c r="C7" s="331" t="s">
        <v>9</v>
      </c>
      <c r="D7" s="318">
        <v>95537</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23309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-789852</v>
      </c>
      <c r="E9" s="362"/>
      <c r="F9" s="362"/>
      <c r="G9" s="362"/>
      <c r="H9" s="362"/>
      <c r="I9" s="364"/>
      <c r="J9" s="318">
        <v>0</v>
      </c>
      <c r="K9" s="362"/>
      <c r="L9" s="362"/>
      <c r="M9" s="362"/>
      <c r="N9" s="362"/>
      <c r="O9" s="364"/>
      <c r="P9" s="318">
        <v>8642</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-11466284</v>
      </c>
      <c r="E11" s="319"/>
      <c r="F11" s="319"/>
      <c r="G11" s="319"/>
      <c r="H11" s="319"/>
      <c r="I11" s="318">
        <v>0</v>
      </c>
      <c r="J11" s="318">
        <v>113</v>
      </c>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809878</v>
      </c>
      <c r="E12" s="363"/>
      <c r="F12" s="363"/>
      <c r="G12" s="363"/>
      <c r="H12" s="363"/>
      <c r="I12" s="365"/>
      <c r="J12" s="318">
        <v>1353066</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8497394.5800000001</v>
      </c>
      <c r="F15" s="319"/>
      <c r="G15" s="319"/>
      <c r="H15" s="319"/>
      <c r="I15" s="318">
        <v>8497395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618404.6</v>
      </c>
      <c r="F16" s="319"/>
      <c r="G16" s="319"/>
      <c r="H16" s="319"/>
      <c r="I16" s="318">
        <v>618405</v>
      </c>
      <c r="J16" s="318"/>
      <c r="K16" s="319">
        <v>-2645066.63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-397732</v>
      </c>
      <c r="AU19" s="321">
        <v>0</v>
      </c>
      <c r="AV19" s="368"/>
      <c r="AW19" s="374"/>
    </row>
    <row r="20" spans="2:49" s="5" customFormat="1" ht="25.5" x14ac:dyDescent="0.2">
      <c r="B20" s="345" t="s">
        <v>430</v>
      </c>
      <c r="C20" s="331"/>
      <c r="D20" s="318"/>
      <c r="E20" s="319">
        <v>15412401.619999999</v>
      </c>
      <c r="F20" s="319"/>
      <c r="G20" s="319"/>
      <c r="H20" s="319"/>
      <c r="I20" s="318">
        <v>15412879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78484612</v>
      </c>
      <c r="E23" s="362"/>
      <c r="F23" s="362"/>
      <c r="G23" s="362"/>
      <c r="H23" s="362"/>
      <c r="I23" s="364"/>
      <c r="J23" s="318">
        <v>99657397</v>
      </c>
      <c r="K23" s="362"/>
      <c r="L23" s="362"/>
      <c r="M23" s="362"/>
      <c r="N23" s="362"/>
      <c r="O23" s="364"/>
      <c r="P23" s="318">
        <v>27377352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7323572</v>
      </c>
      <c r="AU23" s="321">
        <v>0</v>
      </c>
      <c r="AV23" s="368"/>
      <c r="AW23" s="374"/>
    </row>
    <row r="24" spans="2:49" ht="28.5" customHeight="1" x14ac:dyDescent="0.2">
      <c r="B24" s="345" t="s">
        <v>114</v>
      </c>
      <c r="C24" s="331"/>
      <c r="D24" s="365"/>
      <c r="E24" s="319">
        <v>83776586.239999995</v>
      </c>
      <c r="F24" s="319"/>
      <c r="G24" s="319"/>
      <c r="H24" s="319"/>
      <c r="I24" s="318">
        <v>64275482</v>
      </c>
      <c r="J24" s="365"/>
      <c r="K24" s="319">
        <v>98717103.219999999</v>
      </c>
      <c r="L24" s="319"/>
      <c r="M24" s="319"/>
      <c r="N24" s="319"/>
      <c r="O24" s="318"/>
      <c r="P24" s="365"/>
      <c r="Q24" s="319">
        <v>28317461.350000001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11912668</v>
      </c>
      <c r="E26" s="362"/>
      <c r="F26" s="362"/>
      <c r="G26" s="362"/>
      <c r="H26" s="362"/>
      <c r="I26" s="364"/>
      <c r="J26" s="318">
        <v>9693024</v>
      </c>
      <c r="K26" s="362"/>
      <c r="L26" s="362"/>
      <c r="M26" s="362"/>
      <c r="N26" s="362"/>
      <c r="O26" s="364"/>
      <c r="P26" s="318">
        <v>3019132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1185289</v>
      </c>
      <c r="AU26" s="321">
        <v>0</v>
      </c>
      <c r="AV26" s="368"/>
      <c r="AW26" s="374"/>
    </row>
    <row r="27" spans="2:49" s="5" customFormat="1" ht="25.5" x14ac:dyDescent="0.2">
      <c r="B27" s="345" t="s">
        <v>85</v>
      </c>
      <c r="C27" s="331"/>
      <c r="D27" s="365"/>
      <c r="E27" s="319">
        <v>2744131.8144999999</v>
      </c>
      <c r="F27" s="319"/>
      <c r="G27" s="319"/>
      <c r="H27" s="319"/>
      <c r="I27" s="318">
        <v>2358033</v>
      </c>
      <c r="J27" s="365"/>
      <c r="K27" s="319">
        <v>750692.07539171504</v>
      </c>
      <c r="L27" s="319"/>
      <c r="M27" s="319"/>
      <c r="N27" s="319"/>
      <c r="O27" s="318"/>
      <c r="P27" s="365"/>
      <c r="Q27" s="319">
        <v>414916.33284506126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9827747</v>
      </c>
      <c r="E28" s="363"/>
      <c r="F28" s="363"/>
      <c r="G28" s="363"/>
      <c r="H28" s="363"/>
      <c r="I28" s="365"/>
      <c r="J28" s="318">
        <v>7576678</v>
      </c>
      <c r="K28" s="363"/>
      <c r="L28" s="363"/>
      <c r="M28" s="363"/>
      <c r="N28" s="363"/>
      <c r="O28" s="365"/>
      <c r="P28" s="318">
        <v>2830242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1260316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16691</v>
      </c>
      <c r="K30" s="362"/>
      <c r="L30" s="362"/>
      <c r="M30" s="362"/>
      <c r="N30" s="362"/>
      <c r="O30" s="364"/>
      <c r="P30" s="318">
        <v>1153</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115213</v>
      </c>
      <c r="AU30" s="321">
        <v>0</v>
      </c>
      <c r="AV30" s="368"/>
      <c r="AW30" s="374"/>
    </row>
    <row r="31" spans="2:49" s="5" customFormat="1" ht="25.5" x14ac:dyDescent="0.2">
      <c r="B31" s="345" t="s">
        <v>84</v>
      </c>
      <c r="C31" s="331"/>
      <c r="D31" s="365"/>
      <c r="E31" s="319"/>
      <c r="F31" s="319"/>
      <c r="G31" s="319"/>
      <c r="H31" s="319"/>
      <c r="I31" s="318">
        <v>0</v>
      </c>
      <c r="J31" s="365"/>
      <c r="K31" s="319">
        <v>-8283.06</v>
      </c>
      <c r="L31" s="319"/>
      <c r="M31" s="319"/>
      <c r="N31" s="319"/>
      <c r="O31" s="318"/>
      <c r="P31" s="365"/>
      <c r="Q31" s="319">
        <v>455.52</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24974</v>
      </c>
      <c r="K32" s="363"/>
      <c r="L32" s="363"/>
      <c r="M32" s="363"/>
      <c r="N32" s="363"/>
      <c r="O32" s="365"/>
      <c r="P32" s="318">
        <v>697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300486</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5283022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11373</v>
      </c>
      <c r="AU34" s="321">
        <v>0</v>
      </c>
      <c r="AV34" s="368"/>
      <c r="AW34" s="374"/>
    </row>
    <row r="35" spans="2:49" s="5" customFormat="1" x14ac:dyDescent="0.2">
      <c r="B35" s="345" t="s">
        <v>91</v>
      </c>
      <c r="C35" s="331"/>
      <c r="D35" s="365"/>
      <c r="E35" s="319">
        <v>5283021.95</v>
      </c>
      <c r="F35" s="319"/>
      <c r="G35" s="319"/>
      <c r="H35" s="319"/>
      <c r="I35" s="318">
        <v>0</v>
      </c>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6312081</v>
      </c>
      <c r="E36" s="319">
        <v>6312080.7400000002</v>
      </c>
      <c r="F36" s="319"/>
      <c r="G36" s="319"/>
      <c r="H36" s="319"/>
      <c r="I36" s="318">
        <v>0</v>
      </c>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-789852</v>
      </c>
      <c r="E38" s="362"/>
      <c r="F38" s="362"/>
      <c r="G38" s="362"/>
      <c r="H38" s="362"/>
      <c r="I38" s="364"/>
      <c r="J38" s="318">
        <v>0</v>
      </c>
      <c r="K38" s="362"/>
      <c r="L38" s="362"/>
      <c r="M38" s="362"/>
      <c r="N38" s="362"/>
      <c r="O38" s="364"/>
      <c r="P38" s="318">
        <v>8642</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-11466284</v>
      </c>
      <c r="E41" s="362"/>
      <c r="F41" s="362"/>
      <c r="G41" s="362"/>
      <c r="H41" s="362"/>
      <c r="I41" s="364"/>
      <c r="J41" s="318">
        <v>113</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809878</v>
      </c>
      <c r="E43" s="363"/>
      <c r="F43" s="363"/>
      <c r="G43" s="363"/>
      <c r="H43" s="363"/>
      <c r="I43" s="365"/>
      <c r="J43" s="318">
        <v>1353066</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526869</v>
      </c>
      <c r="E49" s="319">
        <v>1806503.79</v>
      </c>
      <c r="F49" s="319"/>
      <c r="G49" s="319"/>
      <c r="H49" s="319"/>
      <c r="I49" s="318">
        <v>1429538</v>
      </c>
      <c r="J49" s="318">
        <v>1332314</v>
      </c>
      <c r="K49" s="319">
        <v>3603791.6482665394</v>
      </c>
      <c r="L49" s="319"/>
      <c r="M49" s="319"/>
      <c r="N49" s="319"/>
      <c r="O49" s="318"/>
      <c r="P49" s="318">
        <v>73149</v>
      </c>
      <c r="Q49" s="319">
        <v>775278.89702016534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-1857</v>
      </c>
      <c r="AU49" s="321">
        <v>0</v>
      </c>
      <c r="AV49" s="368"/>
      <c r="AW49" s="374"/>
    </row>
    <row r="50" spans="2:49" x14ac:dyDescent="0.2">
      <c r="B50" s="343" t="s">
        <v>119</v>
      </c>
      <c r="C50" s="331" t="s">
        <v>34</v>
      </c>
      <c r="D50" s="318">
        <v>107421</v>
      </c>
      <c r="E50" s="363"/>
      <c r="F50" s="363"/>
      <c r="G50" s="363"/>
      <c r="H50" s="363"/>
      <c r="I50" s="365"/>
      <c r="J50" s="318">
        <v>367814</v>
      </c>
      <c r="K50" s="363"/>
      <c r="L50" s="363"/>
      <c r="M50" s="363"/>
      <c r="N50" s="363"/>
      <c r="O50" s="365"/>
      <c r="P50" s="318">
        <v>265725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1915</v>
      </c>
      <c r="AU50" s="321">
        <v>0</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50480.044456713607</v>
      </c>
      <c r="L53" s="319"/>
      <c r="M53" s="319"/>
      <c r="N53" s="319"/>
      <c r="O53" s="318"/>
      <c r="P53" s="318">
        <v>0</v>
      </c>
      <c r="Q53" s="319">
        <v>-8316.6597943414818</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66055012</v>
      </c>
      <c r="E54" s="323">
        <f>E24+E27+E31+E35-E36+E39+E42+E45+E46-E49+E51+E52+E53</f>
        <v>83685155.4745</v>
      </c>
      <c r="F54" s="323">
        <f>F24+F27+F31+F35-F36+F39+F42+F45+F46-F49+F51+F52+F53</f>
        <v>0</v>
      </c>
      <c r="G54" s="323">
        <f>G24+G27+G31+G35-G36+G39+G42+G45+G46-G49+G51+G52+G53</f>
        <v>0</v>
      </c>
      <c r="H54" s="323">
        <f>H24+H27+H31+H35-H36+H39+H42+H45+H46-H49+H51+H52+H53</f>
        <v>0</v>
      </c>
      <c r="I54" s="322">
        <f>I24+I27+I31+I35-I36+I39+I42+I45+I46-I49+I51+I52+I53</f>
        <v>65203977</v>
      </c>
      <c r="J54" s="322">
        <f>J23+J26-J28+J30-J32+J34-J36+J38+J41-J43+J45+J46-J47-J49+J50+J51+J52+J53</f>
        <v>99448007</v>
      </c>
      <c r="K54" s="323">
        <f>K24+K27+K31+K35-K36+K39+K42+K45+K46-K49+K51+K52+K53</f>
        <v>95906200.631581888</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27767916</v>
      </c>
      <c r="Q54" s="323">
        <f>Q24+Q27+Q31+Q35-Q36+Q39+Q42+Q45+Q46-Q49+Q51+Q52+Q53</f>
        <v>27949237.646030556</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7078417</v>
      </c>
      <c r="AU54" s="324">
        <f>AU23+AU26-AU28+AU30-AU32+AU34-AU36+AU38+AU41-AU43+AU45+AU46-AU47-AU49+AU50+AU51+AU52+AU53</f>
        <v>0</v>
      </c>
      <c r="AV54" s="368"/>
      <c r="AW54" s="374"/>
    </row>
    <row r="55" spans="2:49" ht="25.5" x14ac:dyDescent="0.2">
      <c r="B55" s="348" t="s">
        <v>493</v>
      </c>
      <c r="C55" s="335" t="s">
        <v>28</v>
      </c>
      <c r="D55" s="322">
        <f t="shared" ref="D55:AC55" si="0">MIN(MAX(0,D56),MAX(0,D57))</f>
        <v>141904.67000000001</v>
      </c>
      <c r="E55" s="323">
        <f t="shared" si="0"/>
        <v>141904.67000000001</v>
      </c>
      <c r="F55" s="323">
        <f t="shared" si="0"/>
        <v>0</v>
      </c>
      <c r="G55" s="323">
        <f t="shared" si="0"/>
        <v>0</v>
      </c>
      <c r="H55" s="323">
        <f t="shared" si="0"/>
        <v>0</v>
      </c>
      <c r="I55" s="322">
        <f t="shared" si="0"/>
        <v>86230</v>
      </c>
      <c r="J55" s="322">
        <f t="shared" si="0"/>
        <v>190857.77</v>
      </c>
      <c r="K55" s="323">
        <f t="shared" si="0"/>
        <v>184754.57862131242</v>
      </c>
      <c r="L55" s="323">
        <f t="shared" si="0"/>
        <v>0</v>
      </c>
      <c r="M55" s="323">
        <f t="shared" si="0"/>
        <v>0</v>
      </c>
      <c r="N55" s="323">
        <f t="shared" si="0"/>
        <v>0</v>
      </c>
      <c r="O55" s="322">
        <f t="shared" si="0"/>
        <v>0</v>
      </c>
      <c r="P55" s="322">
        <f t="shared" si="0"/>
        <v>58683.92</v>
      </c>
      <c r="Q55" s="323">
        <f t="shared" si="0"/>
        <v>56679.961378687571</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141904.67000000001</v>
      </c>
      <c r="E56" s="319">
        <v>141904.67000000001</v>
      </c>
      <c r="F56" s="319"/>
      <c r="G56" s="319"/>
      <c r="H56" s="319"/>
      <c r="I56" s="318">
        <v>86230</v>
      </c>
      <c r="J56" s="318">
        <v>190857.77</v>
      </c>
      <c r="K56" s="319">
        <v>184754.57862131242</v>
      </c>
      <c r="L56" s="319"/>
      <c r="M56" s="319"/>
      <c r="N56" s="319"/>
      <c r="O56" s="318"/>
      <c r="P56" s="318">
        <v>58683.92</v>
      </c>
      <c r="Q56" s="319">
        <v>56679.961378687571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193595</v>
      </c>
      <c r="E57" s="319">
        <v>193595.1</v>
      </c>
      <c r="F57" s="319"/>
      <c r="G57" s="319"/>
      <c r="H57" s="319"/>
      <c r="I57" s="318">
        <v>136508</v>
      </c>
      <c r="J57" s="318">
        <v>193996</v>
      </c>
      <c r="K57" s="319">
        <v>186778.68</v>
      </c>
      <c r="L57" s="319"/>
      <c r="M57" s="319"/>
      <c r="N57" s="319"/>
      <c r="O57" s="318"/>
      <c r="P57" s="318">
        <v>92407</v>
      </c>
      <c r="Q57" s="319">
        <v>86040.76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55979</v>
      </c>
      <c r="AU57" s="321">
        <v>0</v>
      </c>
      <c r="AV57" s="321">
        <v>0</v>
      </c>
      <c r="AW57" s="374"/>
    </row>
    <row r="58" spans="2:49" s="5" customFormat="1" x14ac:dyDescent="0.2">
      <c r="B58" s="351" t="s">
        <v>494</v>
      </c>
      <c r="C58" s="352"/>
      <c r="D58" s="353"/>
      <c r="E58" s="354">
        <v>5329780.7300000004</v>
      </c>
      <c r="F58" s="354"/>
      <c r="G58" s="354"/>
      <c r="H58" s="354"/>
      <c r="I58" s="353">
        <v>6448720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27518173.109999999</v>
      </c>
      <c r="D5" s="403">
        <v>69674442.010000005</v>
      </c>
      <c r="E5" s="454"/>
      <c r="F5" s="454"/>
      <c r="G5" s="448"/>
      <c r="H5" s="402">
        <v>49374183.719999999</v>
      </c>
      <c r="I5" s="403">
        <v>68314292.900000006</v>
      </c>
      <c r="J5" s="454"/>
      <c r="K5" s="454"/>
      <c r="L5" s="448"/>
      <c r="M5" s="402">
        <v>21825504.390000001</v>
      </c>
      <c r="N5" s="403">
        <v>20817284.57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27488864.8235</v>
      </c>
      <c r="D6" s="398">
        <v>68518380.203999996</v>
      </c>
      <c r="E6" s="400">
        <f>SUM('Pt 1 Summary of Data'!E$12,'Pt 1 Summary of Data'!E$22)+SUM('Pt 1 Summary of Data'!G$12,'Pt 1 Summary of Data'!G$22)-SUM('Pt 1 Summary of Data'!H$12,'Pt 1 Summary of Data'!H$22)</f>
        <v>83827060.144500002</v>
      </c>
      <c r="F6" s="400">
        <f t="shared" ref="F6:F11" si="0">SUM(C6:E6)</f>
        <v>179834305.17199999</v>
      </c>
      <c r="G6" s="401">
        <f>SUM('Pt 1 Summary of Data'!I$12,'Pt 1 Summary of Data'!I$22)</f>
        <v>65290207</v>
      </c>
      <c r="H6" s="397">
        <v>49558220.372102655</v>
      </c>
      <c r="I6" s="398">
        <v>67875843.093394756</v>
      </c>
      <c r="J6" s="400">
        <f>SUM('Pt 1 Summary of Data'!K$12,'Pt 1 Summary of Data'!K$22)+SUM('Pt 1 Summary of Data'!M$12,'Pt 1 Summary of Data'!M$22)-SUM('Pt 1 Summary of Data'!N$12,'Pt 1 Summary of Data'!N$22)</f>
        <v>96090955.210203201</v>
      </c>
      <c r="K6" s="400">
        <f>SUM(H6:J6)</f>
        <v>213525018.6757006</v>
      </c>
      <c r="L6" s="401">
        <f>SUM('Pt 1 Summary of Data'!O$12,'Pt 1 Summary of Data'!O$22)</f>
        <v>0</v>
      </c>
      <c r="M6" s="397">
        <v>21730342.868695945</v>
      </c>
      <c r="N6" s="398">
        <v>20744881.183354173</v>
      </c>
      <c r="O6" s="400">
        <f>SUM('Pt 1 Summary of Data'!Q$12,'Pt 1 Summary of Data'!Q$22)+SUM('Pt 1 Summary of Data'!S$12,'Pt 1 Summary of Data'!S$22)-SUM('Pt 1 Summary of Data'!T$12,'Pt 1 Summary of Data'!T$22)</f>
        <v>28005917.607409243</v>
      </c>
      <c r="P6" s="400">
        <f>SUM(M6:O6)</f>
        <v>70481141.659459352</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840898.54</v>
      </c>
      <c r="D7" s="398">
        <v>859895.89</v>
      </c>
      <c r="E7" s="400">
        <f>SUM('Pt 1 Summary of Data'!E$37:E$41)+SUM('Pt 1 Summary of Data'!G$37:G$41)-SUM('Pt 1 Summary of Data'!H$37:H$41)+MAX(0,MIN('Pt 1 Summary of Data'!E$42+'Pt 1 Summary of Data'!G$42-'Pt 1 Summary of Data'!H$42,0.3%*('Pt 1 Summary of Data'!E$5+'Pt 1 Summary of Data'!G$5-'Pt 1 Summary of Data'!H$5-SUM(E$9:E$11))))</f>
        <v>957176.08000000007</v>
      </c>
      <c r="F7" s="400">
        <f t="shared" si="0"/>
        <v>2657970.5100000002</v>
      </c>
      <c r="G7" s="401">
        <f>SUM('Pt 1 Summary of Data'!I$37:I$41)+MAX(0,MIN(VALUE('Pt 1 Summary of Data'!I$42),0.3%*('Pt 1 Summary of Data'!I$5-SUM(G$9:G$10))))</f>
        <v>392802</v>
      </c>
      <c r="H7" s="397">
        <v>1417082.32</v>
      </c>
      <c r="I7" s="398">
        <v>1725991.47</v>
      </c>
      <c r="J7" s="400">
        <f>SUM('Pt 1 Summary of Data'!K$37:K$41)+SUM('Pt 1 Summary of Data'!M$37:M$41)-SUM('Pt 1 Summary of Data'!N$37:N$41)+MAX(0,MIN('Pt 1 Summary of Data'!K$42+'Pt 1 Summary of Data'!M$42-'Pt 1 Summary of Data'!N$42,0.3%*('Pt 1 Summary of Data'!K$5+'Pt 1 Summary of Data'!M$5-'Pt 1 Summary of Data'!N$5-SUM(J$10:J$11))))</f>
        <v>1933270.5855649395</v>
      </c>
      <c r="K7" s="400">
        <f>SUM(H7:J7)</f>
        <v>5076344.3755649393</v>
      </c>
      <c r="L7" s="401">
        <f>SUM('Pt 1 Summary of Data'!O$37:O$41)+MAX(0,MIN(VALUE('Pt 1 Summary of Data'!O$42),0.3%*('Pt 1 Summary of Data'!O$5-L$10)))</f>
        <v>0</v>
      </c>
      <c r="M7" s="397">
        <v>564752.11</v>
      </c>
      <c r="N7" s="398">
        <v>516737.12</v>
      </c>
      <c r="O7" s="400">
        <f>SUM('Pt 1 Summary of Data'!Q$37:Q$41)+SUM('Pt 1 Summary of Data'!S$37:S$41)-SUM('Pt 1 Summary of Data'!T$37:T$41)+MAX(0,MIN('Pt 1 Summary of Data'!Q$42+'Pt 1 Summary of Data'!S$42-'Pt 1 Summary of Data'!T$42,0.3%*('Pt 1 Summary of Data'!Q$5+'Pt 1 Summary of Data'!S$5-'Pt 1 Summary of Data'!T$5)))</f>
        <v>810952.57443506049</v>
      </c>
      <c r="P7" s="400">
        <f>SUM(M7:O7)</f>
        <v>1892441.8044350604</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4037103.07</v>
      </c>
      <c r="E8" s="400">
        <f>'Pt 2 Premium and Claims'!E58+'Pt 2 Premium and Claims'!G58-'Pt 2 Premium and Claims'!H58</f>
        <v>5329780.7300000004</v>
      </c>
      <c r="F8" s="400">
        <f t="shared" si="0"/>
        <v>9366883.8000000007</v>
      </c>
      <c r="G8" s="401">
        <f>'Pt 2 Premium and Claims'!I58</f>
        <v>6448720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7489285.2699999996</v>
      </c>
      <c r="E9" s="400">
        <f>'Pt 2 Premium and Claims'!E$15+'Pt 2 Premium and Claims'!G$15-'Pt 2 Premium and Claims'!H$15</f>
        <v>8497394.5800000001</v>
      </c>
      <c r="F9" s="400">
        <f t="shared" si="0"/>
        <v>15986679.85</v>
      </c>
      <c r="G9" s="401">
        <f>'Pt 2 Premium and Claims'!I$15</f>
        <v>8497395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275162.36</v>
      </c>
      <c r="E10" s="400">
        <f>'Pt 2 Premium and Claims'!E$16+'Pt 2 Premium and Claims'!G$16-'Pt 2 Premium and Claims'!H$16</f>
        <v>618404.6</v>
      </c>
      <c r="F10" s="400">
        <f t="shared" si="0"/>
        <v>893566.96</v>
      </c>
      <c r="G10" s="401">
        <f>'Pt 2 Premium and Claims'!I$16</f>
        <v>618405</v>
      </c>
      <c r="H10" s="443"/>
      <c r="I10" s="398">
        <v>-1959826.68</v>
      </c>
      <c r="J10" s="400">
        <f>'Pt 2 Premium and Claims'!K$16+'Pt 2 Premium and Claims'!M$16-'Pt 2 Premium and Claims'!N$16</f>
        <v>-2645066.63</v>
      </c>
      <c r="K10" s="400">
        <f>SUM(H10:J10)</f>
        <v>-4604893.3099999996</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885553.03780000005</v>
      </c>
      <c r="E11" s="400">
        <f>'Pt 2 Premium and Claims'!E$17+'Pt 2 Premium and Claims'!G$17-'Pt 2 Premium and Claims'!H$17</f>
        <v>0</v>
      </c>
      <c r="F11" s="400">
        <f t="shared" si="0"/>
        <v>885553.03780000005</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28329763.363499999</v>
      </c>
      <c r="D12" s="400">
        <f>SUM(D$6:D$7) - SUM(D$8:D$11)+IF(AND(OR('Company Information'!$C$12="District of Columbia",'Company Information'!$C$12="Massachusetts",'Company Information'!$C$12="Vermont"),SUM($C$6:$F$11,$C$15:$F$16,$C$38:$D$38)&lt;&gt;0),SUM(I$6:I$7) - SUM(I$10:I$11),0)</f>
        <v>56691172.356199995</v>
      </c>
      <c r="E12" s="400">
        <f>SUM(E$6:E$7)-SUM(E$8:E$11)+IF(AND(OR('Company Information'!$C$12="District of Columbia",'Company Information'!$C$12="Massachusetts",'Company Information'!$C$12="Vermont"),SUM($C$6:$F$11,$C$15:$F$16,$C$38:$D$38)&lt;&gt;0),SUM(J$6:J$7)-SUM(J$10:J$11),0)</f>
        <v>70338656.314500004</v>
      </c>
      <c r="F12" s="400">
        <f>IFERROR(SUM(C$12:E$12)+C$17*MAX(0,E$50-C$50)+D$17*MAX(0,E$50-D$50),0)</f>
        <v>155359592.03420001</v>
      </c>
      <c r="G12" s="447"/>
      <c r="H12" s="399">
        <f>SUM(H$6:H$7)+IF(AND(OR('Company Information'!$C$12="District of Columbia",'Company Information'!$C$12="Massachusetts",'Company Information'!$C$12="Vermont"),SUM($H$6:$K$11,$H$15:$K$16,$H$38:$I$38)&lt;&gt;0),SUM(C$6:C$7),0)</f>
        <v>50975302.692102656</v>
      </c>
      <c r="I12" s="400">
        <f>SUM(I$6:I$7) - SUM(I$10:I$11)+IF(AND(OR('Company Information'!$C$12="District of Columbia",'Company Information'!$C$12="Massachusetts",'Company Information'!$C$12="Vermont"),SUM($H$6:$K$11,$H$15:$K$16,$H$38:$I$38)&lt;&gt;0),SUM(D$6:D$7) - SUM(D$8:D$11),0)</f>
        <v>71561661.243394762</v>
      </c>
      <c r="J12" s="400">
        <f>SUM(J$6:J$7)-SUM(J$10:J$11)+IF(AND(OR('Company Information'!$C$12="District of Columbia",'Company Information'!$C$12="Massachusetts",'Company Information'!$C$12="Vermont"),SUM($H$6:$K$11,$H$15:$K$16,$H$38:$I$38)&lt;&gt;0),SUM(E$6:E$7)-SUM(E$8:E$11),0)</f>
        <v>100669292.42576814</v>
      </c>
      <c r="K12" s="400">
        <f>IFERROR(SUM(H$12:J$12)+H$17*MAX(0,J$50-H$50)+I$17*MAX(0,J$50-I$50),0)</f>
        <v>223206256.36126554</v>
      </c>
      <c r="L12" s="447"/>
      <c r="M12" s="399">
        <f>SUM(M$6:M$7)</f>
        <v>22295094.978695944</v>
      </c>
      <c r="N12" s="400">
        <f>SUM(N$6:N$7)</f>
        <v>21261618.303354174</v>
      </c>
      <c r="O12" s="400">
        <f>SUM(O$6:O$7)</f>
        <v>28816870.181844302</v>
      </c>
      <c r="P12" s="400">
        <f>SUM(M$12:O$12)+M$17*MAX(0,O$50-M$50)+N$17*MAX(0,O$50-N$50)</f>
        <v>72373583.463894427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37653267.490000002</v>
      </c>
      <c r="D15" s="403">
        <v>65731060.670000002</v>
      </c>
      <c r="E15" s="395">
        <f>SUM('Pt 1 Summary of Data'!E$5:E$7)+SUM('Pt 1 Summary of Data'!G$5:G$7)-SUM('Pt 1 Summary of Data'!H$5:H$7)-SUM(E$9:E$11)</f>
        <v>78245501.508132786</v>
      </c>
      <c r="F15" s="395">
        <f>SUM(C15:E15)</f>
        <v>181629829.66813278</v>
      </c>
      <c r="G15" s="396">
        <f>SUM('Pt 1 Summary of Data'!I$5:I$7)-SUM(G$9:G$10)</f>
        <v>51508582</v>
      </c>
      <c r="H15" s="402">
        <v>72291470.870000005</v>
      </c>
      <c r="I15" s="403">
        <v>90869547.030000001</v>
      </c>
      <c r="J15" s="395">
        <f>SUM('Pt 1 Summary of Data'!K$5:K$7)+SUM('Pt 1 Summary of Data'!M$5:M$7)-SUM('Pt 1 Summary of Data'!N$5:N$7)-SUM(J$10:J$11)</f>
        <v>125409462.2213289</v>
      </c>
      <c r="K15" s="395">
        <f>SUM(H15:J15)</f>
        <v>288570480.12132889</v>
      </c>
      <c r="L15" s="396">
        <f>SUM('Pt 1 Summary of Data'!O$5:O$7)-L$10</f>
        <v>0</v>
      </c>
      <c r="M15" s="402">
        <v>22361874.649999999</v>
      </c>
      <c r="N15" s="403">
        <v>24219236.09</v>
      </c>
      <c r="O15" s="395">
        <f>SUM('Pt 1 Summary of Data'!Q$5:Q$7)+SUM('Pt 1 Summary of Data'!S$5:S$7)-SUM('Pt 1 Summary of Data'!T$5:T$7)+N$56</f>
        <v>33753810.469167002</v>
      </c>
      <c r="P15" s="395">
        <f>SUM(M15:O15)</f>
        <v>80334921.209167004</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1712614.65</v>
      </c>
      <c r="D16" s="398">
        <v>5175519.6399999997</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2591407.0867771436</v>
      </c>
      <c r="F16" s="400">
        <f>SUM(C16:E16)</f>
        <v>9479541.3767771423</v>
      </c>
      <c r="G16" s="401">
        <f>SUM('Pt 1 Summary of Data'!I$25:I$28,'Pt 1 Summary of Data'!I$30,'Pt 1 Summary of Data'!I$34:I$35)+IF('Company Information'!$C$15="No",IF(MAX('Pt 1 Summary of Data'!I$31:I$32)=0,MIN('Pt 1 Summary of Data'!I$31:I$32),MAX('Pt 1 Summary of Data'!I$31:I$32)),SUM('Pt 1 Summary of Data'!I$31:I$32))</f>
        <v>-3286588</v>
      </c>
      <c r="H16" s="397">
        <v>5140416.74</v>
      </c>
      <c r="I16" s="398">
        <v>6664558.3099999996</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7965593.1607836615</v>
      </c>
      <c r="K16" s="400">
        <f>SUM(H16:J16)</f>
        <v>19770568.21078366</v>
      </c>
      <c r="L16" s="401">
        <f>SUM('Pt 1 Summary of Data'!O$25:O$28,'Pt 1 Summary of Data'!O$30,'Pt 1 Summary of Data'!O$34:O$35)+IF('Company Information'!$C$15="No",IF(MAX('Pt 1 Summary of Data'!O$31:O$32)=0,MIN('Pt 1 Summary of Data'!O$31:O$32),MAX('Pt 1 Summary of Data'!O$31:O$32)),SUM('Pt 1 Summary of Data'!O$31:O$32))</f>
        <v>0</v>
      </c>
      <c r="M16" s="397">
        <v>-1204328.98</v>
      </c>
      <c r="N16" s="398">
        <v>1349043.74</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-251697.00313552748</v>
      </c>
      <c r="P16" s="400">
        <f>SUM(M16:O16)</f>
        <v>-106982.24313552747</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35940652.840000004</v>
      </c>
      <c r="D17" s="400">
        <f>D$15-D$16+IF(AND(OR('Company Information'!$C$12="District of Columbia",'Company Information'!$C$12="Massachusetts",'Company Information'!$C$12="Vermont"),SUM($C$6:$F$11,$C$15:$F$16,$C$38:$D$38)&lt;&gt;0),I$15-I$16,0)</f>
        <v>60555541.030000001</v>
      </c>
      <c r="E17" s="400">
        <f>E$15-E$16+IF(AND(OR('Company Information'!$C$12="District of Columbia",'Company Information'!$C$12="Massachusetts",'Company Information'!$C$12="Vermont"),SUM($C$6:$F$11,$C$15:$F$16,$C$38:$D$38)&lt;&gt;0),J$15-J$16,0)</f>
        <v>75654094.421355635</v>
      </c>
      <c r="F17" s="400">
        <f>F$15-F$16+IF(AND(OR('Company Information'!$C$12="District of Columbia",'Company Information'!$C$12="Massachusetts",'Company Information'!$C$12="Vermont"),SUM($C$6:$F$11,$C$15:$F$16,$C$38:$D$38)&lt;&gt;0),K$15-K$16,0)</f>
        <v>172150288.29135564</v>
      </c>
      <c r="G17" s="450"/>
      <c r="H17" s="399">
        <f>H$15-H$16+IF(AND(OR('Company Information'!$C$12="District of Columbia",'Company Information'!$C$12="Massachusetts",'Company Information'!$C$12="Vermont"),SUM($H$6:$K$11,$H$15:$K$16,$H$38:$I$38)&lt;&gt;0),C$15-C$16,0)</f>
        <v>67151054.13000001</v>
      </c>
      <c r="I17" s="400">
        <f>I$15-I$16+IF(AND(OR('Company Information'!$C$12="District of Columbia",'Company Information'!$C$12="Massachusetts",'Company Information'!$C$12="Vermont"),SUM($H$6:$K$11,$H$15:$K$16,$H$38:$I$38)&lt;&gt;0),D$15-D$16,0)</f>
        <v>84204988.719999999</v>
      </c>
      <c r="J17" s="400">
        <f>J$15-J$16+IF(AND(OR('Company Information'!$C$12="District of Columbia",'Company Information'!$C$12="Massachusetts",'Company Information'!$C$12="Vermont"),SUM($H$6:$K$11,$H$15:$K$16,$H$38:$I$38)&lt;&gt;0),E$15-E$16,0)</f>
        <v>117443869.06054524</v>
      </c>
      <c r="K17" s="400">
        <f>K$15-K$16+IF(AND(OR('Company Information'!$C$12="District of Columbia",'Company Information'!$C$12="Massachusetts",'Company Information'!$C$12="Vermont"),SUM($H$6:$K$11,$H$15:$K$16,$H$38:$I$38)&lt;&gt;0),F$15-F$16,0)</f>
        <v>268799911.91054523</v>
      </c>
      <c r="L17" s="450"/>
      <c r="M17" s="399">
        <f>M$15-M$16</f>
        <v>23566203.629999999</v>
      </c>
      <c r="N17" s="400">
        <f>N$15-N$16</f>
        <v>22870192.350000001</v>
      </c>
      <c r="O17" s="400">
        <f>O$15-O$16</f>
        <v>34005507.472302526</v>
      </c>
      <c r="P17" s="400">
        <f>P$15-P$16</f>
        <v>80441903.45230253</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49016295</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7482539</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2739758.5</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-1703664</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2739758.5</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1643855.0999999999</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6935709.5</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6935709.5</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8768349.4000000004</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44572872.5</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5839806.0999999996</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1643855.0999999999</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5839806.0999999996</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7672446</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45668775.899999999</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1.0732999524079647</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988728</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737250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17972</v>
      </c>
      <c r="D38" s="405">
        <v>24821.08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24737</v>
      </c>
      <c r="F38" s="432">
        <f>SUM(C$38:E$38)+IF(AND(OR('Company Information'!$C$12="District of Columbia",'Company Information'!$C$12="Massachusetts",'Company Information'!$C$12="Vermont"),SUM($C$6:$F$11,$C$15:$F$16,$C$38:$D$38)&lt;&gt;0,SUM(C$38:D$38)&lt;&gt;SUM(H$38:I$38)),SUM(H$38:I$38),0)</f>
        <v>67530.080000000002</v>
      </c>
      <c r="G38" s="448"/>
      <c r="H38" s="404">
        <v>16681</v>
      </c>
      <c r="I38" s="405">
        <v>21470.67</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28592.166666666668</v>
      </c>
      <c r="K38" s="432">
        <f>SUM(H$38:J$38)+IF(AND(OR('Company Information'!$C$12="District of Columbia",'Company Information'!$C$12="Massachusetts",'Company Information'!$C$12="Vermont"),SUM($H$6:$K$11,$H$15:$K$16,$H$38:$I$38)&lt;&gt;0,SUM(H$38:I$38)&lt;&gt;SUM(C$38:D$38)),SUM(C$38:D$38),0)</f>
        <v>66743.83666666667</v>
      </c>
      <c r="L38" s="448"/>
      <c r="M38" s="404">
        <v>5652</v>
      </c>
      <c r="N38" s="405">
        <v>5860.67</v>
      </c>
      <c r="O38" s="432">
        <f>('Pt 1 Summary of Data'!Q$59+'Pt 1 Summary of Data'!S$59-'Pt 1 Summary of Data'!T$59)/12</f>
        <v>8017</v>
      </c>
      <c r="P38" s="432">
        <f>SUM(M$38:O$38)</f>
        <v>19529.669999999998</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3.5855615999999986E-3</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3.9629583999999992E-3</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1.9646886666666669E-2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7892</v>
      </c>
      <c r="G40" s="447"/>
      <c r="H40" s="443"/>
      <c r="I40" s="441"/>
      <c r="J40" s="441"/>
      <c r="K40" s="398">
        <v>2317</v>
      </c>
      <c r="L40" s="447"/>
      <c r="M40" s="443"/>
      <c r="N40" s="441"/>
      <c r="O40" s="441"/>
      <c r="P40" s="398">
        <v>2390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1.5951856</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5.7196362322329579E-3</v>
      </c>
      <c r="G42" s="447"/>
      <c r="H42" s="443"/>
      <c r="I42" s="441"/>
      <c r="J42" s="441"/>
      <c r="K42" s="436">
        <f ca="1">IF(OR(K$38&lt;1000,K$38&gt;=75000),0,K$39*K$41)</f>
        <v>3.9629583999999992E-3</v>
      </c>
      <c r="L42" s="447"/>
      <c r="M42" s="443"/>
      <c r="N42" s="441"/>
      <c r="O42" s="441"/>
      <c r="P42" s="436">
        <f ca="1">IF(OR(P$38&lt;1000,P$38&gt;=75000),0,P$39*P$41)</f>
        <v>1.9646886666666669E-2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0.78823730580571161</v>
      </c>
      <c r="D45" s="436">
        <f>IF(OR(D$38&lt;1000,D$17&lt;=0),"",D$12/D$17)</f>
        <v>0.9361847221894104</v>
      </c>
      <c r="E45" s="436">
        <f>IF(OR(E$38&lt;1000,E$17&lt;=0),"",E$12/E$17)</f>
        <v>0.92974024542212763</v>
      </c>
      <c r="F45" s="436">
        <f>IF(OR(F$38&lt;1000,F$17&lt;=0),"",F$12/F$17)</f>
        <v>0.90246489608696889</v>
      </c>
      <c r="G45" s="447"/>
      <c r="H45" s="438">
        <f>IF(OR(H$38&lt;1000,H$17&lt;=0),"",H$12/H$17)</f>
        <v>0.75911396109162832</v>
      </c>
      <c r="I45" s="436">
        <f>IF(OR(I$38&lt;1000,I$17&lt;=0),"",I$12/I$17)</f>
        <v>0.84985061254925087</v>
      </c>
      <c r="J45" s="436">
        <f>IF(OR(J$38&lt;1000,J$17&lt;=0),"",J$12/J$17)</f>
        <v>0.85716941404468383</v>
      </c>
      <c r="K45" s="436">
        <f>IF(OR(K$38&lt;1000,K$17&lt;=0),"",K$12/K$17)</f>
        <v>0.83038069013782656</v>
      </c>
      <c r="L45" s="447"/>
      <c r="M45" s="438">
        <f>IF(OR(M$38&lt;1000,M$17&lt;=0),"",M$12/M$17)</f>
        <v>0.94606222235617443</v>
      </c>
      <c r="N45" s="436">
        <f>IF(OR(N$38&lt;1000,N$17&lt;=0),"",N$12/N$17)</f>
        <v>0.92966504076447665</v>
      </c>
      <c r="O45" s="436">
        <f>IF(OR(O$38&lt;1000,O$17&lt;=0),"",O$12/O$17)</f>
        <v>0.84741773682735455</v>
      </c>
      <c r="P45" s="436">
        <f>IF(OR(P$38&lt;1000,P$17&lt;=0),"",P$12/P$17)</f>
        <v>0.89970003639717255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5.7196362322329579E-3</v>
      </c>
      <c r="G47" s="447"/>
      <c r="H47" s="443"/>
      <c r="I47" s="441"/>
      <c r="J47" s="441"/>
      <c r="K47" s="436">
        <f ca="1">IF(K$45="","",K$42)</f>
        <v>3.9629583999999992E-3</v>
      </c>
      <c r="L47" s="447"/>
      <c r="M47" s="443"/>
      <c r="N47" s="441"/>
      <c r="O47" s="441"/>
      <c r="P47" s="436">
        <f ca="1">IF(P$45="","",P$42)</f>
        <v>1.9646886666666669E-2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0.90800000000000003</v>
      </c>
      <c r="G48" s="447"/>
      <c r="H48" s="443"/>
      <c r="I48" s="441"/>
      <c r="J48" s="441"/>
      <c r="K48" s="436">
        <f ca="1">IF(K$45="","",ROUND(K$45+MAX(0,K$47),3))</f>
        <v>0.83399999999999996</v>
      </c>
      <c r="L48" s="447"/>
      <c r="M48" s="443"/>
      <c r="N48" s="441"/>
      <c r="O48" s="441"/>
      <c r="P48" s="436">
        <f ca="1">IF(P$45="","",ROUND(P$45+MAX(0,P$47),3))</f>
        <v>0.91900000000000004</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0.90800000000000003</v>
      </c>
      <c r="G51" s="447"/>
      <c r="H51" s="444"/>
      <c r="I51" s="442"/>
      <c r="J51" s="442"/>
      <c r="K51" s="436">
        <f ca="1">K$48</f>
        <v>0.83399999999999996</v>
      </c>
      <c r="L51" s="447"/>
      <c r="M51" s="444"/>
      <c r="N51" s="442"/>
      <c r="O51" s="442"/>
      <c r="P51" s="436">
        <f ca="1">P$48</f>
        <v>0.91900000000000004</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75654094.421355635</v>
      </c>
      <c r="G52" s="447"/>
      <c r="H52" s="443"/>
      <c r="I52" s="441"/>
      <c r="J52" s="441"/>
      <c r="K52" s="400">
        <f>IF(K$38&lt;1000,"",MAX(0,J$15-J$16))</f>
        <v>117443869.06054524</v>
      </c>
      <c r="L52" s="447"/>
      <c r="M52" s="443"/>
      <c r="N52" s="441"/>
      <c r="O52" s="441"/>
      <c r="P52" s="400">
        <f>IF(P$38&lt;1000,"",MAX(0,O$15-O$16))</f>
        <v>34005507.472302526</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 ca="1">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253250.55809999999</v>
      </c>
      <c r="D56" s="441"/>
      <c r="E56" s="441"/>
      <c r="F56" s="441"/>
      <c r="G56" s="447"/>
      <c r="H56" s="397">
        <v>472832.44281400001</v>
      </c>
      <c r="I56" s="441"/>
      <c r="J56" s="441"/>
      <c r="K56" s="441"/>
      <c r="L56" s="447"/>
      <c r="M56" s="397">
        <v>96406.044620000001</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11494.351280000001</v>
      </c>
      <c r="D57" s="441"/>
      <c r="E57" s="441"/>
      <c r="F57" s="441"/>
      <c r="G57" s="447"/>
      <c r="H57" s="397">
        <v>33549.231699999997</v>
      </c>
      <c r="I57" s="441"/>
      <c r="J57" s="441"/>
      <c r="K57" s="441"/>
      <c r="L57" s="447"/>
      <c r="M57" s="397">
        <v>-5180.2113920000002</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-1102194</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45996382</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44894188</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14759</v>
      </c>
      <c r="D4" s="104">
        <f>'Pt 1 Summary of Data'!$K$56+'Pt 1 Summary of Data'!$M$56-'Pt 1 Summary of Data'!$N$56</f>
        <v>18691</v>
      </c>
      <c r="E4" s="104">
        <f>'Pt 1 Summary of Data'!$Q$56+'Pt 1 Summary of Data'!$S$56-'Pt 1 Summary of Data'!$T$56</f>
        <v>4638</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 ca="1">'Pt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