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O45" i="10"/>
  <c r="N45" i="10"/>
  <c r="M45" i="10"/>
  <c r="AB42" i="10"/>
  <c r="X42" i="10"/>
  <c r="T42" i="10"/>
  <c r="AB41" i="10"/>
  <c r="X41" i="10"/>
  <c r="T41" i="10"/>
  <c r="P41" i="10"/>
  <c r="K41" i="10"/>
  <c r="F41" i="10"/>
  <c r="AB39" i="10"/>
  <c r="X39" i="10"/>
  <c r="T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5" i="10"/>
  <c r="P15" i="10"/>
  <c r="O15" i="10"/>
  <c r="L15" i="10"/>
  <c r="AB13" i="10"/>
  <c r="AA13" i="10"/>
  <c r="Z13" i="10"/>
  <c r="Y13" i="10"/>
  <c r="W13" i="10"/>
  <c r="V13" i="10"/>
  <c r="U13" i="10"/>
  <c r="S13" i="10"/>
  <c r="R13" i="10"/>
  <c r="Q13" i="10"/>
  <c r="P12" i="10"/>
  <c r="P45" i="10" s="1"/>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B55" i="18"/>
  <c r="AA55" i="18"/>
  <c r="Z55" i="18"/>
  <c r="Y55" i="18"/>
  <c r="X55" i="18"/>
  <c r="W55" i="18"/>
  <c r="V55" i="18"/>
  <c r="U55" i="18"/>
  <c r="U22" i="4" s="1"/>
  <c r="T55" i="18"/>
  <c r="T22" i="4" s="1"/>
  <c r="S55" i="18"/>
  <c r="S22" i="4" s="1"/>
  <c r="R55" i="18"/>
  <c r="R22" i="4" s="1"/>
  <c r="Q55" i="18"/>
  <c r="Q22" i="4" s="1"/>
  <c r="P55" i="18"/>
  <c r="P22" i="4" s="1"/>
  <c r="O55" i="18"/>
  <c r="N55" i="18"/>
  <c r="M55" i="18"/>
  <c r="M22" i="4" s="1"/>
  <c r="L55" i="18"/>
  <c r="K55" i="18"/>
  <c r="J55" i="18"/>
  <c r="J22" i="4" s="1"/>
  <c r="I55" i="18"/>
  <c r="H55" i="18"/>
  <c r="G55" i="18"/>
  <c r="F55" i="18"/>
  <c r="E55" i="18"/>
  <c r="E22" i="4" s="1"/>
  <c r="D55" i="18"/>
  <c r="AU54" i="18"/>
  <c r="AT54" i="18"/>
  <c r="AS54" i="18"/>
  <c r="AC54" i="18"/>
  <c r="AB54" i="18"/>
  <c r="AA54" i="18"/>
  <c r="Z54" i="18"/>
  <c r="Y54" i="18"/>
  <c r="X54" i="18"/>
  <c r="W54" i="18"/>
  <c r="V54" i="18"/>
  <c r="U54" i="18"/>
  <c r="T54" i="18"/>
  <c r="S54" i="18"/>
  <c r="R54" i="18"/>
  <c r="Q54" i="18"/>
  <c r="P54" i="18"/>
  <c r="O54" i="18"/>
  <c r="N54" i="18"/>
  <c r="M54" i="18"/>
  <c r="L54" i="18"/>
  <c r="K54" i="18"/>
  <c r="J54" i="18"/>
  <c r="I54" i="18"/>
  <c r="I12" i="4" s="1"/>
  <c r="H54" i="18"/>
  <c r="H12" i="4" s="1"/>
  <c r="G54" i="18"/>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O22" i="4"/>
  <c r="N22" i="4"/>
  <c r="L22" i="4"/>
  <c r="K22" i="4"/>
  <c r="I22" i="4"/>
  <c r="H22" i="4"/>
  <c r="G22" i="4"/>
  <c r="F22" i="4"/>
  <c r="D22" i="4"/>
  <c r="AU12" i="4"/>
  <c r="AT12" i="4"/>
  <c r="AS12" i="4"/>
  <c r="AC12" i="4"/>
  <c r="AB12" i="4"/>
  <c r="AA12" i="4"/>
  <c r="Z12" i="4"/>
  <c r="Y12" i="4"/>
  <c r="X12" i="4"/>
  <c r="W12" i="4"/>
  <c r="V12" i="4"/>
  <c r="U12" i="4"/>
  <c r="T12" i="4"/>
  <c r="S12" i="4"/>
  <c r="R12" i="4"/>
  <c r="Q12" i="4"/>
  <c r="P12" i="4"/>
  <c r="O12" i="4"/>
  <c r="N12" i="4"/>
  <c r="M12" i="4"/>
  <c r="L12" i="4"/>
  <c r="K12" i="4"/>
  <c r="J12" i="4"/>
  <c r="G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J7" i="10" l="1"/>
  <c r="K7" i="10" s="1"/>
  <c r="H12" i="10" s="1"/>
  <c r="E15" i="10"/>
  <c r="J15" i="10"/>
  <c r="G15" i="10"/>
  <c r="G27" i="10" s="1"/>
  <c r="F15" i="10"/>
  <c r="K15" i="10"/>
  <c r="E7" i="10"/>
  <c r="G24" i="10"/>
  <c r="L30" i="10"/>
  <c r="L31" i="10" s="1"/>
  <c r="L29" i="10" s="1"/>
  <c r="L33" i="10" s="1"/>
  <c r="L34" i="10" s="1"/>
  <c r="L21" i="10"/>
  <c r="L26" i="10" s="1"/>
  <c r="L25" i="10" s="1"/>
  <c r="L28" i="10" s="1"/>
  <c r="P39" i="10"/>
  <c r="P42" i="10" s="1"/>
  <c r="P47" i="10" s="1"/>
  <c r="P48" i="10" s="1"/>
  <c r="P51" i="10" s="1"/>
  <c r="P53" i="10" s="1"/>
  <c r="E11" i="16" s="1"/>
  <c r="X13" i="10"/>
  <c r="T13" i="10"/>
  <c r="K17" i="10" l="1"/>
  <c r="G19" i="10"/>
  <c r="I12" i="10"/>
  <c r="G32" i="10"/>
  <c r="I17" i="10"/>
  <c r="G23" i="10"/>
  <c r="G20" i="10"/>
  <c r="J38" i="10"/>
  <c r="K38" i="10" s="1"/>
  <c r="F7" i="10"/>
  <c r="C17" i="10" s="1"/>
  <c r="E38" i="10"/>
  <c r="E17" i="10"/>
  <c r="C12" i="10"/>
  <c r="F17" i="10"/>
  <c r="J12" i="10"/>
  <c r="J17" i="10"/>
  <c r="E12" i="10"/>
  <c r="H17" i="10"/>
  <c r="H45" i="10" s="1"/>
  <c r="I45" i="10" l="1"/>
  <c r="J45" i="10"/>
  <c r="K12" i="10"/>
  <c r="K45" i="10" s="1"/>
  <c r="D17" i="10"/>
  <c r="G22" i="10"/>
  <c r="C45" i="10"/>
  <c r="D12" i="10"/>
  <c r="K52" i="10"/>
  <c r="K39" i="10"/>
  <c r="K42" i="10"/>
  <c r="E45" i="10"/>
  <c r="F38" i="10"/>
  <c r="D45" i="10" l="1"/>
  <c r="G30" i="10"/>
  <c r="G31" i="10" s="1"/>
  <c r="G29" i="10" s="1"/>
  <c r="G33" i="10" s="1"/>
  <c r="G34" i="10" s="1"/>
  <c r="G21" i="10"/>
  <c r="G26" i="10" s="1"/>
  <c r="G25" i="10" s="1"/>
  <c r="G28" i="10" s="1"/>
  <c r="F12" i="10"/>
  <c r="F45" i="10" s="1"/>
  <c r="F47" i="10" s="1"/>
  <c r="K47" i="10"/>
  <c r="K48" i="10" s="1"/>
  <c r="K51" i="10" s="1"/>
  <c r="K53" i="10" s="1"/>
  <c r="D11" i="16" s="1"/>
  <c r="F42" i="10"/>
  <c r="F52" i="10"/>
  <c r="F39" i="10"/>
  <c r="F48" i="10" l="1"/>
  <c r="F51" i="10" s="1"/>
  <c r="F53" i="10" s="1"/>
  <c r="C11" i="16" s="1"/>
</calcChain>
</file>

<file path=xl/sharedStrings.xml><?xml version="1.0" encoding="utf-8"?>
<sst xmlns="http://schemas.openxmlformats.org/spreadsheetml/2006/main" count="575" uniqueCount="514">
  <si>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</si>
  <si>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</si>
  <si>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</si>
  <si>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</si>
  <si>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</si>
  <si>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</si>
  <si>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</si>
  <si>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</si>
  <si>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</si>
  <si>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</si>
  <si>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</si>
  <si>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</si>
  <si>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</si>
  <si>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</si>
  <si>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</si>
  <si>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</si>
  <si>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</si>
  <si>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</si>
  <si>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</si>
  <si>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</si>
  <si>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</si>
  <si>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</si>
  <si>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</si>
  <si>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</si>
  <si>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</si>
  <si>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</si>
  <si>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</si>
  <si>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</si>
  <si>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</si>
  <si>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</si>
  <si>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</si>
  <si>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</si>
  <si>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</si>
  <si>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</si>
  <si>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</si>
  <si>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</si>
  <si>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</si>
  <si>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</si>
  <si>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</si>
  <si>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</si>
  <si>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</si>
  <si>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</si>
  <si>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</si>
  <si>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</si>
  <si>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</si>
  <si>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</si>
  <si>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</si>
  <si>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</si>
  <si>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</si>
  <si>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</si>
  <si>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</si>
  <si>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</si>
  <si>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</si>
  <si>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</si>
  <si>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</si>
  <si>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</si>
  <si>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</si>
  <si>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</si>
  <si>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</si>
  <si>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</si>
  <si>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</si>
  <si>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</si>
  <si>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</si>
  <si>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</si>
  <si>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</si>
  <si>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</si>
  <si>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</si>
  <si>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</si>
  <si>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</si>
  <si>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</si>
  <si>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</si>
  <si>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</si>
  <si>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</si>
  <si>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</si>
  <si>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</si>
  <si>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</si>
  <si>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</si>
  <si>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</si>
  <si>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</si>
  <si>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</si>
  <si>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</si>
  <si>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</si>
  <si>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</si>
  <si>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</si>
  <si>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</si>
  <si>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</si>
  <si>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</si>
  <si>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</si>
  <si>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</si>
  <si>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</si>
  <si>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</si>
  <si>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</si>
  <si>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</si>
  <si>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</si>
  <si>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</si>
  <si>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</si>
  <si>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</si>
  <si>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</si>
  <si>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</si>
  <si>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</si>
  <si>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</si>
  <si>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</si>
  <si>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</si>
  <si>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</si>
  <si>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</si>
  <si>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</si>
  <si>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</si>
  <si>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</si>
  <si>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</si>
  <si>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</si>
  <si>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</si>
  <si>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</si>
  <si>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</si>
  <si>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</si>
  <si>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</si>
  <si>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</si>
  <si>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</si>
  <si>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</si>
  <si>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</si>
  <si>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</si>
  <si>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</si>
  <si>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</si>
  <si>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</si>
  <si>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</si>
  <si>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</si>
  <si>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</si>
  <si>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</si>
  <si>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</si>
  <si>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</si>
  <si>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</si>
  <si>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</si>
  <si>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</si>
  <si>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</si>
  <si>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</si>
  <si>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</si>
  <si>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</si>
  <si>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</si>
  <si>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</si>
  <si>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</si>
  <si>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</si>
  <si>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</si>
  <si>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</si>
  <si>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</si>
  <si>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</si>
  <si>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</si>
  <si>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</si>
  <si>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</si>
  <si>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</si>
  <si>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</si>
  <si>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</si>
  <si>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</si>
  <si>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</si>
  <si>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</si>
  <si>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</si>
  <si>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</si>
  <si>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</si>
  <si>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</si>
  <si>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</si>
  <si>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</si>
  <si>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</si>
  <si>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</si>
  <si>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</si>
  <si>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</si>
  <si>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</si>
  <si>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</si>
  <si>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</si>
  <si>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</si>
  <si>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</si>
  <si>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</si>
  <si>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</si>
  <si>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</si>
  <si>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</si>
  <si>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</si>
  <si>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</si>
  <si>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</si>
  <si>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</si>
  <si>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</si>
  <si>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</si>
  <si>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</si>
  <si>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</si>
  <si>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</si>
  <si>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</si>
  <si>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</si>
  <si>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</si>
  <si>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</si>
  <si>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</si>
  <si>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</si>
  <si>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</si>
  <si>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</si>
  <si>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</si>
  <si>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</si>
  <si>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</si>
  <si>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</si>
  <si>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</si>
  <si>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</si>
  <si>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</si>
  <si>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</si>
  <si>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</si>
  <si>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</si>
  <si>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</si>
  <si>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</si>
  <si>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</si>
  <si>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</si>
  <si>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</si>
  <si>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</si>
  <si>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</si>
  <si>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</si>
  <si>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</si>
  <si>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</si>
  <si>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</si>
  <si>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</si>
  <si>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</si>
  <si>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</si>
  <si>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</si>
  <si>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</si>
  <si>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</si>
  <si>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</si>
  <si>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</si>
  <si>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</si>
  <si>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</si>
  <si>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</si>
  <si>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</si>
  <si>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</si>
  <si>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</si>
  <si>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</si>
  <si>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</si>
  <si>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</si>
  <si>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</si>
  <si>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</si>
  <si>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</si>
  <si>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</si>
  <si>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</si>
  <si>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</si>
  <si>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</si>
  <si>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</si>
  <si>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</si>
  <si>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</si>
  <si>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</si>
  <si>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</si>
  <si>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</si>
  <si>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</si>
  <si>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</si>
  <si>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</si>
  <si>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</si>
  <si>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</si>
  <si>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</si>
  <si>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</si>
  <si>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</si>
  <si>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</si>
  <si>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</si>
  <si>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</si>
  <si>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</si>
  <si>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</si>
  <si>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</si>
  <si>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</si>
  <si>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</si>
  <si>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</si>
  <si>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</si>
  <si>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</si>
  <si>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</si>
  <si>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</si>
  <si>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</si>
  <si>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</si>
  <si>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</si>
  <si>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</si>
  <si>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</si>
  <si>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</si>
  <si>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</si>
  <si>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</si>
  <si>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</si>
  <si>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</si>
  <si>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</si>
  <si>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</si>
  <si>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</si>
  <si>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</si>
  <si>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</si>
  <si>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</si>
  <si>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</si>
  <si>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</si>
  <si>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</si>
  <si>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</si>
  <si>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</si>
  <si>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</si>
  <si>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</si>
  <si>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</si>
  <si>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</si>
  <si>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</si>
  <si>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</si>
  <si>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</si>
  <si>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</si>
  <si>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</si>
  <si>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</si>
  <si>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</si>
  <si>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</si>
  <si>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</si>
  <si>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</si>
  <si>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</si>
  <si>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</si>
  <si>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</si>
  <si>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</si>
  <si>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</si>
  <si>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</si>
  <si>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</si>
  <si>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</si>
  <si>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</si>
  <si>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</si>
  <si>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</si>
  <si>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</si>
  <si>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</si>
  <si>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</si>
  <si>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</si>
  <si>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</si>
  <si>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</si>
  <si>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</si>
  <si>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</si>
  <si>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</si>
  <si>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</si>
  <si>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</si>
  <si>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</si>
  <si>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</si>
  <si>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</si>
  <si>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</si>
  <si>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</si>
  <si>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</si>
  <si>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</si>
  <si>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</si>
  <si>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</si>
  <si>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</si>
  <si>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</si>
  <si>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</si>
  <si>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</si>
  <si>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</si>
  <si>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</si>
  <si>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</si>
  <si>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</si>
  <si>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</si>
  <si>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</si>
  <si>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</si>
  <si>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</si>
  <si>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</si>
  <si>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</si>
  <si>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</si>
  <si>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</si>
  <si>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</si>
  <si>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</si>
  <si>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</si>
  <si>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</si>
  <si>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</si>
  <si>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</si>
  <si>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</si>
  <si>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</si>
  <si>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</si>
  <si>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</si>
  <si>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</si>
  <si>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</si>
  <si>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</si>
  <si>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</si>
  <si>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</si>
  <si>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</si>
  <si>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</si>
  <si>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</si>
  <si>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</si>
  <si>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</si>
  <si>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</si>
  <si>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</si>
  <si>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</si>
  <si>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</si>
  <si>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</si>
  <si>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</si>
  <si>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</si>
  <si>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</si>
  <si>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</si>
  <si>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</si>
  <si>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</si>
  <si>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</si>
  <si>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</si>
  <si>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</si>
  <si>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</si>
  <si>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</si>
  <si>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</si>
  <si>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</si>
  <si>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</si>
  <si>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</si>
  <si>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</si>
  <si>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</si>
  <si>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</si>
  <si>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</si>
  <si>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</si>
  <si>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</si>
  <si>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</si>
  <si>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</si>
  <si>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</si>
  <si>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</si>
  <si>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</si>
  <si>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</si>
  <si>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</si>
  <si>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</si>
  <si>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</si>
  <si>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</si>
  <si>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</si>
  <si>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</si>
  <si>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</si>
  <si>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</si>
  <si>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</si>
  <si>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</si>
  <si>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</si>
  <si>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</si>
  <si>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</si>
  <si>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</si>
  <si>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</si>
  <si>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</si>
  <si>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</si>
  <si>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</si>
  <si>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</si>
  <si>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</si>
  <si>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</si>
  <si>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</si>
  <si>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</si>
  <si>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</si>
  <si>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</si>
  <si>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</si>
  <si>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</si>
  <si>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</si>
  <si>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</si>
  <si>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</si>
  <si>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</si>
  <si>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</si>
  <si>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</si>
  <si>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</si>
  <si>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</si>
  <si>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</si>
  <si>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</si>
  <si>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</si>
  <si>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</si>
  <si>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</si>
  <si>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</si>
  <si>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</si>
  <si>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</si>
  <si>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</si>
  <si>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</si>
  <si>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</si>
  <si>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</si>
  <si>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</si>
  <si>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</si>
  <si>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</si>
  <si>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</si>
  <si>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</si>
  <si>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</si>
  <si>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</si>
  <si>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</si>
  <si>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</si>
  <si>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</si>
  <si>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</si>
  <si>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</si>
  <si>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</si>
  <si>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</si>
  <si>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</si>
  <si>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</si>
  <si>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</si>
  <si>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</si>
  <si>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</si>
  <si>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</si>
  <si>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</si>
  <si>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</si>
  <si>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</si>
  <si>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</si>
  <si>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</si>
  <si>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</si>
  <si>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</si>
  <si>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</si>
  <si>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</si>
  <si>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</si>
  <si>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</si>
  <si>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</si>
  <si>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</si>
  <si>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</si>
  <si>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</si>
  <si>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</si>
  <si>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</si>
  <si>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</si>
  <si>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</si>
  <si>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</si>
  <si>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</si>
  <si>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</si>
  <si>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</si>
  <si>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</si>
  <si>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</si>
  <si>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</si>
  <si>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</si>
  <si>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</si>
  <si>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</si>
  <si>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</si>
  <si>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</si>
  <si>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</si>
  <si>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</si>
  <si>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</si>
  <si>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</si>
  <si>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</si>
  <si>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</si>
  <si>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</si>
  <si>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</si>
  <si>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</si>
  <si>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</si>
  <si>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</si>
  <si>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</si>
  <si>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63141</t>
  </si>
  <si>
    <t>219</t>
  </si>
  <si>
    <t>Humana Employers Health Plan of Georgia, Inc.</t>
  </si>
  <si>
    <t>Humana Health Plan, Inc.</t>
  </si>
  <si>
    <t>Humana Health Plan of Texas, Inc.</t>
  </si>
  <si>
    <t>Humana Insurance of Puerto Rico, Inc.</t>
  </si>
  <si>
    <t>Humana Health Benefit Plan of Louisiana,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</si>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</sst>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186</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225774134</v>
      </c>
      <c r="E5" s="213">
        <f>SUM('Pt 2 Premium and Claims'!E$5,'Pt 2 Premium and Claims'!E$6,-'Pt 2 Premium and Claims'!E$7,-'Pt 2 Premium and Claims'!E$13,'Pt 2 Premium and Claims'!E$14:'Pt 2 Premium and Claims'!E$17)</f>
        <v>269632904.472574</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129701579</v>
      </c>
      <c r="J5" s="212">
        <f>SUM('Pt 2 Premium and Claims'!J$5,'Pt 2 Premium and Claims'!J$6,-'Pt 2 Premium and Claims'!J$7,-'Pt 2 Premium and Claims'!J$13,'Pt 2 Premium and Claims'!J$14,'Pt 2 Premium and Claims'!J$16:'Pt 2 Premium and Claims'!J$17)</f>
        <v>239461535</v>
      </c>
      <c r="K5" s="213">
        <f>SUM('Pt 2 Premium and Claims'!K$5,'Pt 2 Premium and Claims'!K$6,-'Pt 2 Premium and Claims'!K$7,-'Pt 2 Premium and Claims'!K$13,'Pt 2 Premium and Claims'!K$14,'Pt 2 Premium and Claims'!K$16:'Pt 2 Premium and Claims'!K$17)</f>
        <v>132347116.1128542</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102591362</v>
      </c>
      <c r="Q5" s="213">
        <f>SUM('Pt 2 Premium and Claims'!Q$5,'Pt 2 Premium and Claims'!Q$6,-'Pt 2 Premium and Claims'!Q$7,-'Pt 2 Premium and Claims'!Q$13,'Pt 2 Premium and Claims'!Q$14)</f>
        <v>57327747.905962199</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46417426</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-5775</v>
      </c>
      <c r="E7" s="217">
        <v>-5775.04</v>
      </c>
      <c r="F7" s="217"/>
      <c r="G7" s="217"/>
      <c r="H7" s="217"/>
      <c r="I7" s="216">
        <v>0</v>
      </c>
      <c r="J7" s="216">
        <v>-7389</v>
      </c>
      <c r="K7" s="217">
        <v>-4183.34</v>
      </c>
      <c r="L7" s="217"/>
      <c r="M7" s="217"/>
      <c r="N7" s="217"/>
      <c r="O7" s="216"/>
      <c r="P7" s="216">
        <v>-4456</v>
      </c>
      <c r="Q7" s="217">
        <v>-2527.54</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-1503</v>
      </c>
      <c r="AU7" s="220">
        <v>0</v>
      </c>
      <c r="AV7" s="290"/>
      <c r="AW7" s="297"/>
    </row>
    <row r="8" spans="1:49" ht="25.5" x14ac:dyDescent="0.2">
      <c r="B8" s="239" t="s">
        <v>225</v>
      </c>
      <c r="C8" s="203" t="s">
        <v>59</v>
      </c>
      <c r="D8" s="216">
        <v>-1343981</v>
      </c>
      <c r="E8" s="268"/>
      <c r="F8" s="269"/>
      <c r="G8" s="269"/>
      <c r="H8" s="269"/>
      <c r="I8" s="272"/>
      <c r="J8" s="216">
        <v>-367305</v>
      </c>
      <c r="K8" s="268"/>
      <c r="L8" s="269"/>
      <c r="M8" s="269"/>
      <c r="N8" s="269"/>
      <c r="O8" s="272"/>
      <c r="P8" s="216">
        <v>-131563</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-12337029</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224185611</v>
      </c>
      <c r="E12" s="213">
        <f>'Pt 2 Premium and Claims'!E$54</f>
        <v>262184110.27559996</v>
      </c>
      <c r="F12" s="213">
        <f>'Pt 2 Premium and Claims'!F$54</f>
        <v>0</v>
      </c>
      <c r="G12" s="213">
        <f>'Pt 2 Premium and Claims'!G$54</f>
        <v>0</v>
      </c>
      <c r="H12" s="213">
        <f>'Pt 2 Premium and Claims'!H$54</f>
        <v>0</v>
      </c>
      <c r="I12" s="212">
        <f>'Pt 2 Premium and Claims'!I$54</f>
        <v>152158542</v>
      </c>
      <c r="J12" s="212">
        <f>'Pt 2 Premium and Claims'!J$54</f>
        <v>187768323</v>
      </c>
      <c r="K12" s="213">
        <f>'Pt 2 Premium and Claims'!K$54</f>
        <v>98773798.053440049</v>
      </c>
      <c r="L12" s="213">
        <f>'Pt 2 Premium and Claims'!L$54</f>
        <v>0</v>
      </c>
      <c r="M12" s="213">
        <f>'Pt 2 Premium and Claims'!M$54</f>
        <v>0</v>
      </c>
      <c r="N12" s="213">
        <f>'Pt 2 Premium and Claims'!N$54</f>
        <v>0</v>
      </c>
      <c r="O12" s="212">
        <f>'Pt 2 Premium and Claims'!O$54</f>
        <v>0</v>
      </c>
      <c r="P12" s="212">
        <f>'Pt 2 Premium and Claims'!P$54</f>
        <v>94999435</v>
      </c>
      <c r="Q12" s="213">
        <f>'Pt 2 Premium and Claims'!Q$54</f>
        <v>46973226.894417956</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27659122</v>
      </c>
      <c r="AU12" s="214">
        <f>'Pt 2 Premium and Claims'!AU$54</f>
        <v>0</v>
      </c>
      <c r="AV12" s="291"/>
      <c r="AW12" s="296"/>
    </row>
    <row r="13" spans="1:49" ht="25.5" x14ac:dyDescent="0.2">
      <c r="B13" s="239" t="s">
        <v>230</v>
      </c>
      <c r="C13" s="203" t="s">
        <v>37</v>
      </c>
      <c r="D13" s="216">
        <v>41604139</v>
      </c>
      <c r="E13" s="217">
        <v>42327569.409999996</v>
      </c>
      <c r="F13" s="217"/>
      <c r="G13" s="268"/>
      <c r="H13" s="269"/>
      <c r="I13" s="216">
        <v>27560827</v>
      </c>
      <c r="J13" s="216">
        <v>19862509</v>
      </c>
      <c r="K13" s="217">
        <v>19830700.381075256</v>
      </c>
      <c r="L13" s="217"/>
      <c r="M13" s="268"/>
      <c r="N13" s="269"/>
      <c r="O13" s="216"/>
      <c r="P13" s="216">
        <v>8708875</v>
      </c>
      <c r="Q13" s="217">
        <v>9168475.6063919049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298678</v>
      </c>
      <c r="AU13" s="220">
        <v>0</v>
      </c>
      <c r="AV13" s="290"/>
      <c r="AW13" s="297"/>
    </row>
    <row r="14" spans="1:49" ht="25.5" x14ac:dyDescent="0.2">
      <c r="B14" s="239" t="s">
        <v>231</v>
      </c>
      <c r="C14" s="203" t="s">
        <v>6</v>
      </c>
      <c r="D14" s="216">
        <v>5069081</v>
      </c>
      <c r="E14" s="217">
        <v>4930233.6499999994</v>
      </c>
      <c r="F14" s="217"/>
      <c r="G14" s="267"/>
      <c r="H14" s="270"/>
      <c r="I14" s="216">
        <v>3224011</v>
      </c>
      <c r="J14" s="216">
        <v>2726295</v>
      </c>
      <c r="K14" s="217">
        <v>2776021.5188434827</v>
      </c>
      <c r="L14" s="217"/>
      <c r="M14" s="267"/>
      <c r="N14" s="270"/>
      <c r="O14" s="216"/>
      <c r="P14" s="216">
        <v>1280257</v>
      </c>
      <c r="Q14" s="217">
        <v>1321690.4899974717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1784</v>
      </c>
      <c r="AU14" s="220">
        <v>0</v>
      </c>
      <c r="AV14" s="290"/>
      <c r="AW14" s="297"/>
    </row>
    <row r="15" spans="1:49" ht="38.25" x14ac:dyDescent="0.2">
      <c r="B15" s="239" t="s">
        <v>232</v>
      </c>
      <c r="C15" s="203" t="s">
        <v>7</v>
      </c>
      <c r="D15" s="216">
        <v>0</v>
      </c>
      <c r="E15" s="217"/>
      <c r="F15" s="217"/>
      <c r="G15" s="267"/>
      <c r="H15" s="273"/>
      <c r="I15" s="216">
        <v>0</v>
      </c>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-24999002</v>
      </c>
      <c r="E16" s="268"/>
      <c r="F16" s="269"/>
      <c r="G16" s="270"/>
      <c r="H16" s="270"/>
      <c r="I16" s="272"/>
      <c r="J16" s="216">
        <v>-48046</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-2580206</v>
      </c>
      <c r="AU16" s="220">
        <v>0</v>
      </c>
      <c r="AV16" s="290"/>
      <c r="AW16" s="297"/>
    </row>
    <row r="17" spans="1:49" x14ac:dyDescent="0.2">
      <c r="B17" s="239" t="s">
        <v>234</v>
      </c>
      <c r="C17" s="203" t="s">
        <v>62</v>
      </c>
      <c r="D17" s="216">
        <v>41597926</v>
      </c>
      <c r="E17" s="267"/>
      <c r="F17" s="270"/>
      <c r="G17" s="270"/>
      <c r="H17" s="270"/>
      <c r="I17" s="271"/>
      <c r="J17" s="216">
        <v>0</v>
      </c>
      <c r="K17" s="267"/>
      <c r="L17" s="270"/>
      <c r="M17" s="270"/>
      <c r="N17" s="270"/>
      <c r="O17" s="271"/>
      <c r="P17" s="216">
        <v>-2739920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1763220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-528</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438794.02</v>
      </c>
      <c r="E22" s="222">
        <f>'Pt 2 Premium and Claims'!E$55</f>
        <v>428712.12</v>
      </c>
      <c r="F22" s="222">
        <f>'Pt 2 Premium and Claims'!F$55</f>
        <v>0</v>
      </c>
      <c r="G22" s="222">
        <f>'Pt 2 Premium and Claims'!G$55</f>
        <v>0</v>
      </c>
      <c r="H22" s="222">
        <f>'Pt 2 Premium and Claims'!H$55</f>
        <v>0</v>
      </c>
      <c r="I22" s="221">
        <f>'Pt 2 Premium and Claims'!I$55</f>
        <v>146871</v>
      </c>
      <c r="J22" s="221">
        <f>'Pt 2 Premium and Claims'!J$55</f>
        <v>315230.71999999997</v>
      </c>
      <c r="K22" s="222">
        <f>'Pt 2 Premium and Claims'!K$55</f>
        <v>160137.48035468996</v>
      </c>
      <c r="L22" s="222">
        <f>'Pt 2 Premium and Claims'!L$55</f>
        <v>0</v>
      </c>
      <c r="M22" s="222">
        <f>'Pt 2 Premium and Claims'!M$55</f>
        <v>0</v>
      </c>
      <c r="N22" s="222">
        <f>'Pt 2 Premium and Claims'!N$55</f>
        <v>0</v>
      </c>
      <c r="O22" s="221">
        <f>'Pt 2 Premium and Claims'!O$55</f>
        <v>0</v>
      </c>
      <c r="P22" s="221">
        <f>'Pt 2 Premium and Claims'!P$55</f>
        <v>151594.46</v>
      </c>
      <c r="Q22" s="222">
        <f>'Pt 2 Premium and Claims'!Q$55</f>
        <v>86398.809645310044</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-10851048.66</v>
      </c>
      <c r="E25" s="217">
        <v>-20635242.00182886</v>
      </c>
      <c r="F25" s="217"/>
      <c r="G25" s="217"/>
      <c r="H25" s="217"/>
      <c r="I25" s="216">
        <v>-20545112</v>
      </c>
      <c r="J25" s="216">
        <v>9134878.4600000009</v>
      </c>
      <c r="K25" s="217">
        <v>4825174.7633385211</v>
      </c>
      <c r="L25" s="217"/>
      <c r="M25" s="217"/>
      <c r="N25" s="217"/>
      <c r="O25" s="216"/>
      <c r="P25" s="216">
        <v>-4777886.82</v>
      </c>
      <c r="Q25" s="217">
        <v>-484706.29694423353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743156.82</v>
      </c>
      <c r="AU25" s="220"/>
      <c r="AV25" s="220"/>
      <c r="AW25" s="297"/>
    </row>
    <row r="26" spans="1:49" s="5" customFormat="1" x14ac:dyDescent="0.2">
      <c r="A26" s="35"/>
      <c r="B26" s="242" t="s">
        <v>242</v>
      </c>
      <c r="C26" s="203"/>
      <c r="D26" s="216">
        <v>191942.88</v>
      </c>
      <c r="E26" s="217">
        <v>190432.67</v>
      </c>
      <c r="F26" s="217"/>
      <c r="G26" s="217"/>
      <c r="H26" s="217"/>
      <c r="I26" s="216">
        <v>34947</v>
      </c>
      <c r="J26" s="216">
        <v>123344.29</v>
      </c>
      <c r="K26" s="217">
        <v>68505.531573246393</v>
      </c>
      <c r="L26" s="217"/>
      <c r="M26" s="217"/>
      <c r="N26" s="217"/>
      <c r="O26" s="216"/>
      <c r="P26" s="216">
        <v>61776.800000000003</v>
      </c>
      <c r="Q26" s="217">
        <v>37012.428426753606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4140969.58</v>
      </c>
      <c r="E27" s="217">
        <v>4041935.87</v>
      </c>
      <c r="F27" s="217"/>
      <c r="G27" s="217"/>
      <c r="H27" s="217"/>
      <c r="I27" s="216">
        <v>1676222</v>
      </c>
      <c r="J27" s="216">
        <v>3916619.54</v>
      </c>
      <c r="K27" s="217">
        <v>2098016.1952933758</v>
      </c>
      <c r="L27" s="217"/>
      <c r="M27" s="217"/>
      <c r="N27" s="217"/>
      <c r="O27" s="216"/>
      <c r="P27" s="216">
        <v>1794832.22</v>
      </c>
      <c r="Q27" s="217">
        <v>1066159.1647066241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101117.45</v>
      </c>
      <c r="AU27" s="220"/>
      <c r="AV27" s="293"/>
      <c r="AW27" s="297"/>
    </row>
    <row r="28" spans="1:49" s="5" customFormat="1" x14ac:dyDescent="0.2">
      <c r="A28" s="35"/>
      <c r="B28" s="242" t="s">
        <v>244</v>
      </c>
      <c r="C28" s="203"/>
      <c r="D28" s="216">
        <v>816867.99</v>
      </c>
      <c r="E28" s="217">
        <v>802690.41</v>
      </c>
      <c r="F28" s="217"/>
      <c r="G28" s="217"/>
      <c r="H28" s="217"/>
      <c r="I28" s="216">
        <v>218028</v>
      </c>
      <c r="J28" s="216">
        <v>437811.25</v>
      </c>
      <c r="K28" s="217">
        <v>221015.76305272296</v>
      </c>
      <c r="L28" s="217"/>
      <c r="M28" s="217"/>
      <c r="N28" s="217"/>
      <c r="O28" s="216"/>
      <c r="P28" s="216">
        <v>231829.5</v>
      </c>
      <c r="Q28" s="217">
        <v>134548.38694727703</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77857.990000000005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-748292.26</v>
      </c>
      <c r="E30" s="217">
        <v>-1448431.618886393</v>
      </c>
      <c r="F30" s="217"/>
      <c r="G30" s="217"/>
      <c r="H30" s="217"/>
      <c r="I30" s="216">
        <v>-1579758</v>
      </c>
      <c r="J30" s="216">
        <v>767126.68</v>
      </c>
      <c r="K30" s="217">
        <v>404591.04481464566</v>
      </c>
      <c r="L30" s="217"/>
      <c r="M30" s="217"/>
      <c r="N30" s="217"/>
      <c r="O30" s="216"/>
      <c r="P30" s="216">
        <v>-347243.7</v>
      </c>
      <c r="Q30" s="217">
        <v>-22559.819937048876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80166.77</v>
      </c>
      <c r="AU30" s="220"/>
      <c r="AV30" s="220"/>
      <c r="AW30" s="297"/>
    </row>
    <row r="31" spans="1:49" x14ac:dyDescent="0.2">
      <c r="B31" s="242" t="s">
        <v>247</v>
      </c>
      <c r="C31" s="203"/>
      <c r="D31" s="216">
        <v>4682497.92</v>
      </c>
      <c r="E31" s="217">
        <v>4562332.55</v>
      </c>
      <c r="F31" s="217"/>
      <c r="G31" s="217"/>
      <c r="H31" s="217"/>
      <c r="I31" s="216">
        <v>1789593</v>
      </c>
      <c r="J31" s="216">
        <v>4570761.7300000004</v>
      </c>
      <c r="K31" s="217">
        <v>2444235.8342093416</v>
      </c>
      <c r="L31" s="217"/>
      <c r="M31" s="217"/>
      <c r="N31" s="217"/>
      <c r="O31" s="216"/>
      <c r="P31" s="216">
        <v>2110859.12</v>
      </c>
      <c r="Q31" s="217">
        <v>1246242.4957906585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876095.97</v>
      </c>
      <c r="AU31" s="220"/>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2880009.6</v>
      </c>
      <c r="E34" s="217">
        <v>3638901.14</v>
      </c>
      <c r="F34" s="217"/>
      <c r="G34" s="217"/>
      <c r="H34" s="217"/>
      <c r="I34" s="216">
        <v>1012775</v>
      </c>
      <c r="J34" s="216">
        <v>1125413.1499999999</v>
      </c>
      <c r="K34" s="217">
        <v>1098275.1597902391</v>
      </c>
      <c r="L34" s="217"/>
      <c r="M34" s="217"/>
      <c r="N34" s="217"/>
      <c r="O34" s="216"/>
      <c r="P34" s="216">
        <v>540788.28</v>
      </c>
      <c r="Q34" s="217">
        <v>567926.27020976087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1108866.5900000001</v>
      </c>
      <c r="E35" s="217">
        <v>1103002.32</v>
      </c>
      <c r="F35" s="217"/>
      <c r="G35" s="217"/>
      <c r="H35" s="217"/>
      <c r="I35" s="216">
        <v>925694</v>
      </c>
      <c r="J35" s="216">
        <v>144055.63</v>
      </c>
      <c r="K35" s="217">
        <v>72242.982827192187</v>
      </c>
      <c r="L35" s="217"/>
      <c r="M35" s="217"/>
      <c r="N35" s="217"/>
      <c r="O35" s="216"/>
      <c r="P35" s="216">
        <v>70308.399999999994</v>
      </c>
      <c r="Q35" s="217">
        <v>40723.727172807812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68603.740000000005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978707</v>
      </c>
      <c r="E37" s="225">
        <v>973149.41</v>
      </c>
      <c r="F37" s="225"/>
      <c r="G37" s="225"/>
      <c r="H37" s="225"/>
      <c r="I37" s="224">
        <v>280170</v>
      </c>
      <c r="J37" s="224">
        <v>401720</v>
      </c>
      <c r="K37" s="225">
        <v>287099.32845784206</v>
      </c>
      <c r="L37" s="225"/>
      <c r="M37" s="225"/>
      <c r="N37" s="225"/>
      <c r="O37" s="224"/>
      <c r="P37" s="224">
        <v>411297</v>
      </c>
      <c r="Q37" s="225">
        <v>321591.78154215793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853</v>
      </c>
      <c r="AU37" s="226">
        <v>0</v>
      </c>
      <c r="AV37" s="226">
        <v>776171</v>
      </c>
      <c r="AW37" s="296"/>
    </row>
    <row r="38" spans="1:49" x14ac:dyDescent="0.2">
      <c r="B38" s="239" t="s">
        <v>254</v>
      </c>
      <c r="C38" s="203" t="s">
        <v>16</v>
      </c>
      <c r="D38" s="216">
        <v>221368</v>
      </c>
      <c r="E38" s="217">
        <v>220516.6</v>
      </c>
      <c r="F38" s="217"/>
      <c r="G38" s="217"/>
      <c r="H38" s="217"/>
      <c r="I38" s="216">
        <v>64413</v>
      </c>
      <c r="J38" s="216">
        <v>41752</v>
      </c>
      <c r="K38" s="217">
        <v>25234.289242275008</v>
      </c>
      <c r="L38" s="217"/>
      <c r="M38" s="217"/>
      <c r="N38" s="217"/>
      <c r="O38" s="216"/>
      <c r="P38" s="216">
        <v>298716</v>
      </c>
      <c r="Q38" s="217">
        <v>234151.54075772499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8</v>
      </c>
      <c r="AU38" s="220">
        <v>0</v>
      </c>
      <c r="AV38" s="220">
        <v>437777</v>
      </c>
      <c r="AW38" s="297"/>
    </row>
    <row r="39" spans="1:49" x14ac:dyDescent="0.2">
      <c r="B39" s="242" t="s">
        <v>255</v>
      </c>
      <c r="C39" s="203" t="s">
        <v>17</v>
      </c>
      <c r="D39" s="216">
        <v>407030</v>
      </c>
      <c r="E39" s="217">
        <v>405690.11</v>
      </c>
      <c r="F39" s="217"/>
      <c r="G39" s="217"/>
      <c r="H39" s="217"/>
      <c r="I39" s="216">
        <v>129001</v>
      </c>
      <c r="J39" s="216">
        <v>177960</v>
      </c>
      <c r="K39" s="217">
        <v>150306.98382523554</v>
      </c>
      <c r="L39" s="217"/>
      <c r="M39" s="217"/>
      <c r="N39" s="217"/>
      <c r="O39" s="216"/>
      <c r="P39" s="216">
        <v>123503</v>
      </c>
      <c r="Q39" s="217">
        <v>108139.87617476445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3776</v>
      </c>
      <c r="AU39" s="220">
        <v>0</v>
      </c>
      <c r="AV39" s="220">
        <v>247764</v>
      </c>
      <c r="AW39" s="297"/>
    </row>
    <row r="40" spans="1:49" x14ac:dyDescent="0.2">
      <c r="B40" s="242" t="s">
        <v>256</v>
      </c>
      <c r="C40" s="203" t="s">
        <v>38</v>
      </c>
      <c r="D40" s="216">
        <v>1413877</v>
      </c>
      <c r="E40" s="217">
        <v>1413303.14</v>
      </c>
      <c r="F40" s="217"/>
      <c r="G40" s="217"/>
      <c r="H40" s="217"/>
      <c r="I40" s="216">
        <v>285173</v>
      </c>
      <c r="J40" s="216">
        <v>1188614</v>
      </c>
      <c r="K40" s="217">
        <v>1041260.3113135741</v>
      </c>
      <c r="L40" s="217"/>
      <c r="M40" s="217"/>
      <c r="N40" s="217"/>
      <c r="O40" s="216"/>
      <c r="P40" s="216">
        <v>742263</v>
      </c>
      <c r="Q40" s="217">
        <v>668265.6786864259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22483</v>
      </c>
      <c r="AU40" s="220">
        <v>0</v>
      </c>
      <c r="AV40" s="220">
        <v>1134611</v>
      </c>
      <c r="AW40" s="297"/>
    </row>
    <row r="41" spans="1:49" s="5" customFormat="1" ht="25.5" x14ac:dyDescent="0.2">
      <c r="A41" s="35"/>
      <c r="B41" s="242" t="s">
        <v>257</v>
      </c>
      <c r="C41" s="203" t="s">
        <v>129</v>
      </c>
      <c r="D41" s="216">
        <v>551653</v>
      </c>
      <c r="E41" s="217">
        <v>544328.77</v>
      </c>
      <c r="F41" s="217"/>
      <c r="G41" s="217"/>
      <c r="H41" s="217"/>
      <c r="I41" s="216">
        <v>109814</v>
      </c>
      <c r="J41" s="216">
        <v>312623</v>
      </c>
      <c r="K41" s="217">
        <v>159983.71064651271</v>
      </c>
      <c r="L41" s="217"/>
      <c r="M41" s="217"/>
      <c r="N41" s="217"/>
      <c r="O41" s="216"/>
      <c r="P41" s="216">
        <v>145377</v>
      </c>
      <c r="Q41" s="217">
        <v>82466.269353487296</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61416</v>
      </c>
      <c r="AU41" s="220">
        <v>0</v>
      </c>
      <c r="AV41" s="220">
        <v>528956</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3290596</v>
      </c>
      <c r="E44" s="225">
        <v>3238767</v>
      </c>
      <c r="F44" s="225"/>
      <c r="G44" s="225"/>
      <c r="H44" s="225"/>
      <c r="I44" s="224">
        <v>1190915</v>
      </c>
      <c r="J44" s="224">
        <v>1884850</v>
      </c>
      <c r="K44" s="225">
        <v>1222843.0580117982</v>
      </c>
      <c r="L44" s="225"/>
      <c r="M44" s="225"/>
      <c r="N44" s="225"/>
      <c r="O44" s="224"/>
      <c r="P44" s="224">
        <v>956014</v>
      </c>
      <c r="Q44" s="225">
        <v>682099.26198820176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87998</v>
      </c>
      <c r="AU44" s="226">
        <v>0</v>
      </c>
      <c r="AV44" s="226">
        <v>3439019</v>
      </c>
      <c r="AW44" s="296"/>
    </row>
    <row r="45" spans="1:49" x14ac:dyDescent="0.2">
      <c r="B45" s="245" t="s">
        <v>261</v>
      </c>
      <c r="C45" s="203" t="s">
        <v>19</v>
      </c>
      <c r="D45" s="216">
        <v>2926738</v>
      </c>
      <c r="E45" s="217">
        <v>2868581.21</v>
      </c>
      <c r="F45" s="217"/>
      <c r="G45" s="217"/>
      <c r="H45" s="217"/>
      <c r="I45" s="216">
        <v>913638</v>
      </c>
      <c r="J45" s="216">
        <v>1117053</v>
      </c>
      <c r="K45" s="217">
        <v>633477.7927143604</v>
      </c>
      <c r="L45" s="217"/>
      <c r="M45" s="217"/>
      <c r="N45" s="217"/>
      <c r="O45" s="216"/>
      <c r="P45" s="216">
        <v>533670</v>
      </c>
      <c r="Q45" s="217">
        <v>340794.74728563958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134613</v>
      </c>
      <c r="AU45" s="220">
        <v>0</v>
      </c>
      <c r="AV45" s="220">
        <v>3057061</v>
      </c>
      <c r="AW45" s="297"/>
    </row>
    <row r="46" spans="1:49" x14ac:dyDescent="0.2">
      <c r="B46" s="245" t="s">
        <v>262</v>
      </c>
      <c r="C46" s="203" t="s">
        <v>20</v>
      </c>
      <c r="D46" s="216">
        <v>677640</v>
      </c>
      <c r="E46" s="217">
        <v>648528.15</v>
      </c>
      <c r="F46" s="217"/>
      <c r="G46" s="217"/>
      <c r="H46" s="217"/>
      <c r="I46" s="216">
        <v>424042</v>
      </c>
      <c r="J46" s="216">
        <v>963474</v>
      </c>
      <c r="K46" s="217">
        <v>505388.81921158475</v>
      </c>
      <c r="L46" s="217"/>
      <c r="M46" s="217"/>
      <c r="N46" s="217"/>
      <c r="O46" s="216"/>
      <c r="P46" s="216">
        <v>462553</v>
      </c>
      <c r="Q46" s="217">
        <v>264493.01078841521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136450</v>
      </c>
      <c r="AU46" s="220">
        <v>0</v>
      </c>
      <c r="AV46" s="220">
        <v>1088694</v>
      </c>
      <c r="AW46" s="297"/>
    </row>
    <row r="47" spans="1:49" x14ac:dyDescent="0.2">
      <c r="B47" s="245" t="s">
        <v>263</v>
      </c>
      <c r="C47" s="203" t="s">
        <v>21</v>
      </c>
      <c r="D47" s="216">
        <v>10465419</v>
      </c>
      <c r="E47" s="217">
        <v>10460144.130000001</v>
      </c>
      <c r="F47" s="217"/>
      <c r="G47" s="217"/>
      <c r="H47" s="217"/>
      <c r="I47" s="216">
        <v>3901729</v>
      </c>
      <c r="J47" s="216">
        <v>7500827</v>
      </c>
      <c r="K47" s="217">
        <v>7247428.5365602775</v>
      </c>
      <c r="L47" s="217"/>
      <c r="M47" s="217"/>
      <c r="N47" s="217"/>
      <c r="O47" s="216"/>
      <c r="P47" s="216">
        <v>3265117</v>
      </c>
      <c r="Q47" s="217">
        <v>3401661.8934397227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16036578</v>
      </c>
      <c r="AU47" s="220">
        <v>0</v>
      </c>
      <c r="AV47" s="220">
        <v>439943</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-286461.09000000003</v>
      </c>
      <c r="E49" s="217">
        <v>-197588.05</v>
      </c>
      <c r="F49" s="217"/>
      <c r="G49" s="217"/>
      <c r="H49" s="217"/>
      <c r="I49" s="216">
        <v>-96388</v>
      </c>
      <c r="J49" s="216">
        <v>280856.87</v>
      </c>
      <c r="K49" s="217">
        <v>168018.27456124374</v>
      </c>
      <c r="L49" s="217"/>
      <c r="M49" s="217"/>
      <c r="N49" s="217"/>
      <c r="O49" s="216"/>
      <c r="P49" s="216">
        <v>-144350.04999999999</v>
      </c>
      <c r="Q49" s="217">
        <v>-45059.124561243749</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44382.03</v>
      </c>
      <c r="AU49" s="220"/>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23110042</v>
      </c>
      <c r="E51" s="217">
        <v>22698642.199999999</v>
      </c>
      <c r="F51" s="217"/>
      <c r="G51" s="217"/>
      <c r="H51" s="217"/>
      <c r="I51" s="216">
        <v>5685528</v>
      </c>
      <c r="J51" s="216">
        <v>12793320</v>
      </c>
      <c r="K51" s="217">
        <v>6179784.5644242791</v>
      </c>
      <c r="L51" s="217"/>
      <c r="M51" s="217"/>
      <c r="N51" s="217"/>
      <c r="O51" s="216"/>
      <c r="P51" s="216">
        <v>2032140</v>
      </c>
      <c r="Q51" s="217">
        <v>46733.965575720729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-11823221</v>
      </c>
      <c r="AU51" s="220">
        <v>0</v>
      </c>
      <c r="AV51" s="220">
        <v>11763424</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46347</v>
      </c>
      <c r="E56" s="229">
        <v>38210</v>
      </c>
      <c r="F56" s="229"/>
      <c r="G56" s="229"/>
      <c r="H56" s="229"/>
      <c r="I56" s="228">
        <v>12046</v>
      </c>
      <c r="J56" s="228">
        <v>85973</v>
      </c>
      <c r="K56" s="229">
        <v>14094</v>
      </c>
      <c r="L56" s="229"/>
      <c r="M56" s="229"/>
      <c r="N56" s="229"/>
      <c r="O56" s="228"/>
      <c r="P56" s="228">
        <v>39869</v>
      </c>
      <c r="Q56" s="229">
        <v>5907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100385</v>
      </c>
      <c r="AU56" s="230">
        <v>0</v>
      </c>
      <c r="AV56" s="230">
        <v>35813</v>
      </c>
      <c r="AW56" s="288"/>
    </row>
    <row r="57" spans="2:49" x14ac:dyDescent="0.2">
      <c r="B57" s="245" t="s">
        <v>272</v>
      </c>
      <c r="C57" s="203" t="s">
        <v>25</v>
      </c>
      <c r="D57" s="231">
        <v>86012</v>
      </c>
      <c r="E57" s="232">
        <v>71539</v>
      </c>
      <c r="F57" s="232"/>
      <c r="G57" s="232"/>
      <c r="H57" s="232"/>
      <c r="I57" s="231">
        <v>20743</v>
      </c>
      <c r="J57" s="231">
        <v>138648</v>
      </c>
      <c r="K57" s="232">
        <v>21986</v>
      </c>
      <c r="L57" s="232"/>
      <c r="M57" s="232"/>
      <c r="N57" s="232"/>
      <c r="O57" s="231"/>
      <c r="P57" s="231">
        <v>62309</v>
      </c>
      <c r="Q57" s="232">
        <v>10562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168921</v>
      </c>
      <c r="AU57" s="233">
        <v>0</v>
      </c>
      <c r="AV57" s="233">
        <v>80424</v>
      </c>
      <c r="AW57" s="289"/>
    </row>
    <row r="58" spans="2:49" x14ac:dyDescent="0.2">
      <c r="B58" s="245" t="s">
        <v>273</v>
      </c>
      <c r="C58" s="203" t="s">
        <v>26</v>
      </c>
      <c r="D58" s="309"/>
      <c r="E58" s="310"/>
      <c r="F58" s="310"/>
      <c r="G58" s="310"/>
      <c r="H58" s="310"/>
      <c r="I58" s="309"/>
      <c r="J58" s="231">
        <v>1832</v>
      </c>
      <c r="K58" s="232">
        <v>1832</v>
      </c>
      <c r="L58" s="232"/>
      <c r="M58" s="232"/>
      <c r="N58" s="232"/>
      <c r="O58" s="231"/>
      <c r="P58" s="231">
        <v>67</v>
      </c>
      <c r="Q58" s="232">
        <v>67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1090</v>
      </c>
      <c r="AU58" s="233">
        <v>0</v>
      </c>
      <c r="AV58" s="233">
        <v>12</v>
      </c>
      <c r="AW58" s="289"/>
    </row>
    <row r="59" spans="2:49" x14ac:dyDescent="0.2">
      <c r="B59" s="245" t="s">
        <v>274</v>
      </c>
      <c r="C59" s="203" t="s">
        <v>27</v>
      </c>
      <c r="D59" s="231">
        <v>1140688</v>
      </c>
      <c r="E59" s="232">
        <v>960435</v>
      </c>
      <c r="F59" s="232"/>
      <c r="G59" s="232"/>
      <c r="H59" s="232"/>
      <c r="I59" s="231">
        <v>274191</v>
      </c>
      <c r="J59" s="231">
        <v>1706972</v>
      </c>
      <c r="K59" s="232">
        <v>291529</v>
      </c>
      <c r="L59" s="232"/>
      <c r="M59" s="232"/>
      <c r="N59" s="232"/>
      <c r="O59" s="231"/>
      <c r="P59" s="231">
        <v>787997</v>
      </c>
      <c r="Q59" s="232">
        <v>149346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1918464</v>
      </c>
      <c r="AU59" s="233">
        <v>0</v>
      </c>
      <c r="AV59" s="233">
        <v>1011114</v>
      </c>
      <c r="AW59" s="289"/>
    </row>
    <row r="60" spans="2:49" x14ac:dyDescent="0.2">
      <c r="B60" s="245" t="s">
        <v>275</v>
      </c>
      <c r="C60" s="203"/>
      <c r="D60" s="234">
        <f t="shared" ref="D60:AC60" si="0">D$59/12</f>
        <v>95057.333333333328</v>
      </c>
      <c r="E60" s="235">
        <f t="shared" si="0"/>
        <v>80036.25</v>
      </c>
      <c r="F60" s="235">
        <f t="shared" si="0"/>
        <v>0</v>
      </c>
      <c r="G60" s="235">
        <f t="shared" si="0"/>
        <v>0</v>
      </c>
      <c r="H60" s="235">
        <f t="shared" si="0"/>
        <v>0</v>
      </c>
      <c r="I60" s="234">
        <f t="shared" si="0"/>
        <v>22849.25</v>
      </c>
      <c r="J60" s="234">
        <f t="shared" si="0"/>
        <v>142247.66666666666</v>
      </c>
      <c r="K60" s="235">
        <f t="shared" si="0"/>
        <v>24294.083333333332</v>
      </c>
      <c r="L60" s="235">
        <f t="shared" si="0"/>
        <v>0</v>
      </c>
      <c r="M60" s="235">
        <f t="shared" si="0"/>
        <v>0</v>
      </c>
      <c r="N60" s="235">
        <f t="shared" si="0"/>
        <v>0</v>
      </c>
      <c r="O60" s="234">
        <f t="shared" si="0"/>
        <v>0</v>
      </c>
      <c r="P60" s="234">
        <f t="shared" si="0"/>
        <v>65666.416666666672</v>
      </c>
      <c r="Q60" s="235">
        <f t="shared" si="0"/>
        <v>12445.5</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159872</v>
      </c>
      <c r="AU60" s="236">
        <f>AU$59/12</f>
        <v>0</v>
      </c>
      <c r="AV60" s="236">
        <f>AV$59/12</f>
        <v>84259.5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225782995</v>
      </c>
      <c r="E5" s="326">
        <v>230141545.14257401</v>
      </c>
      <c r="F5" s="326"/>
      <c r="G5" s="328"/>
      <c r="H5" s="328"/>
      <c r="I5" s="325">
        <v>90210220</v>
      </c>
      <c r="J5" s="325">
        <v>239461535</v>
      </c>
      <c r="K5" s="326">
        <v>133539863.1428542</v>
      </c>
      <c r="L5" s="326"/>
      <c r="M5" s="326"/>
      <c r="N5" s="326"/>
      <c r="O5" s="325"/>
      <c r="P5" s="325">
        <v>102591362</v>
      </c>
      <c r="Q5" s="326">
        <v>57327747.905962199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46430038</v>
      </c>
      <c r="AU5" s="327">
        <v>0</v>
      </c>
      <c r="AV5" s="369"/>
      <c r="AW5" s="373"/>
    </row>
    <row r="6" spans="2:49" x14ac:dyDescent="0.2">
      <c r="B6" s="343" t="s">
        <v>278</v>
      </c>
      <c r="C6" s="331" t="s">
        <v>8</v>
      </c>
      <c r="D6" s="318">
        <v>408097</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78165</v>
      </c>
      <c r="AU6" s="321">
        <v>0</v>
      </c>
      <c r="AV6" s="368"/>
      <c r="AW6" s="374"/>
    </row>
    <row r="7" spans="2:49" x14ac:dyDescent="0.2">
      <c r="B7" s="343" t="s">
        <v>279</v>
      </c>
      <c r="C7" s="331" t="s">
        <v>9</v>
      </c>
      <c r="D7" s="318">
        <v>416958</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90777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-549573</v>
      </c>
      <c r="E9" s="362"/>
      <c r="F9" s="362"/>
      <c r="G9" s="362"/>
      <c r="H9" s="362"/>
      <c r="I9" s="364"/>
      <c r="J9" s="318">
        <v>0</v>
      </c>
      <c r="K9" s="362"/>
      <c r="L9" s="362"/>
      <c r="M9" s="362"/>
      <c r="N9" s="362"/>
      <c r="O9" s="364"/>
      <c r="P9" s="318">
        <v>1775495</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-8444</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-55806900</v>
      </c>
      <c r="E11" s="319"/>
      <c r="F11" s="319"/>
      <c r="G11" s="319"/>
      <c r="H11" s="319"/>
      <c r="I11" s="318">
        <v>0</v>
      </c>
      <c r="J11" s="318">
        <v>0</v>
      </c>
      <c r="K11" s="319"/>
      <c r="L11" s="319"/>
      <c r="M11" s="319"/>
      <c r="N11" s="319"/>
      <c r="O11" s="318"/>
      <c r="P11" s="318">
        <v>41487</v>
      </c>
      <c r="Q11" s="319">
        <v>-49996.23</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-2000961</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22949252.239999998</v>
      </c>
      <c r="F15" s="319"/>
      <c r="G15" s="319"/>
      <c r="H15" s="319"/>
      <c r="I15" s="318">
        <v>22949252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16542107.09</v>
      </c>
      <c r="F16" s="319"/>
      <c r="G16" s="319"/>
      <c r="H16" s="319"/>
      <c r="I16" s="318">
        <v>16542107</v>
      </c>
      <c r="J16" s="318"/>
      <c r="K16" s="319">
        <v>-1192747.03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-11949156</v>
      </c>
      <c r="AU19" s="321">
        <v>0</v>
      </c>
      <c r="AV19" s="368"/>
      <c r="AW19" s="374"/>
    </row>
    <row r="20" spans="2:49" s="5" customFormat="1" ht="25.5" x14ac:dyDescent="0.2">
      <c r="B20" s="345" t="s">
        <v>430</v>
      </c>
      <c r="C20" s="331"/>
      <c r="D20" s="318"/>
      <c r="E20" s="319">
        <v>12894798.789999999</v>
      </c>
      <c r="F20" s="319"/>
      <c r="G20" s="319"/>
      <c r="H20" s="319"/>
      <c r="I20" s="318">
        <v>12897131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280840984</v>
      </c>
      <c r="E23" s="362"/>
      <c r="F23" s="362"/>
      <c r="G23" s="362"/>
      <c r="H23" s="362"/>
      <c r="I23" s="364"/>
      <c r="J23" s="318">
        <v>185252075</v>
      </c>
      <c r="K23" s="362"/>
      <c r="L23" s="362"/>
      <c r="M23" s="362"/>
      <c r="N23" s="362"/>
      <c r="O23" s="364"/>
      <c r="P23" s="318">
        <v>92111240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31178987</v>
      </c>
      <c r="AU23" s="321">
        <v>0</v>
      </c>
      <c r="AV23" s="368"/>
      <c r="AW23" s="374"/>
    </row>
    <row r="24" spans="2:49" ht="28.5" customHeight="1" x14ac:dyDescent="0.2">
      <c r="B24" s="345" t="s">
        <v>114</v>
      </c>
      <c r="C24" s="331"/>
      <c r="D24" s="365"/>
      <c r="E24" s="319">
        <v>265969165.68000001</v>
      </c>
      <c r="F24" s="319"/>
      <c r="G24" s="319"/>
      <c r="H24" s="319"/>
      <c r="I24" s="318">
        <v>151137460</v>
      </c>
      <c r="J24" s="365"/>
      <c r="K24" s="319">
        <v>100390239.92</v>
      </c>
      <c r="L24" s="319"/>
      <c r="M24" s="319"/>
      <c r="N24" s="319"/>
      <c r="O24" s="318"/>
      <c r="P24" s="365"/>
      <c r="Q24" s="319">
        <v>48257352.280000001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32291869</v>
      </c>
      <c r="E26" s="362"/>
      <c r="F26" s="362"/>
      <c r="G26" s="362"/>
      <c r="H26" s="362"/>
      <c r="I26" s="364"/>
      <c r="J26" s="318">
        <v>22532467</v>
      </c>
      <c r="K26" s="362"/>
      <c r="L26" s="362"/>
      <c r="M26" s="362"/>
      <c r="N26" s="362"/>
      <c r="O26" s="364"/>
      <c r="P26" s="318">
        <v>10689670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8421632</v>
      </c>
      <c r="AU26" s="321">
        <v>0</v>
      </c>
      <c r="AV26" s="368"/>
      <c r="AW26" s="374"/>
    </row>
    <row r="27" spans="2:49" s="5" customFormat="1" ht="25.5" x14ac:dyDescent="0.2">
      <c r="B27" s="345" t="s">
        <v>85</v>
      </c>
      <c r="C27" s="331"/>
      <c r="D27" s="365"/>
      <c r="E27" s="319">
        <v>6612214.1956000002</v>
      </c>
      <c r="F27" s="319"/>
      <c r="G27" s="319"/>
      <c r="H27" s="319"/>
      <c r="I27" s="318">
        <v>4245093</v>
      </c>
      <c r="J27" s="365"/>
      <c r="K27" s="319">
        <v>874657.35330751399</v>
      </c>
      <c r="L27" s="319"/>
      <c r="M27" s="319"/>
      <c r="N27" s="319"/>
      <c r="O27" s="318"/>
      <c r="P27" s="365"/>
      <c r="Q27" s="319">
        <v>486899.36468366184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28286542</v>
      </c>
      <c r="E28" s="363"/>
      <c r="F28" s="363"/>
      <c r="G28" s="363"/>
      <c r="H28" s="363"/>
      <c r="I28" s="365"/>
      <c r="J28" s="318">
        <v>20024552</v>
      </c>
      <c r="K28" s="363"/>
      <c r="L28" s="363"/>
      <c r="M28" s="363"/>
      <c r="N28" s="363"/>
      <c r="O28" s="365"/>
      <c r="P28" s="318">
        <v>9524342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11464697</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76049</v>
      </c>
      <c r="K30" s="362"/>
      <c r="L30" s="362"/>
      <c r="M30" s="362"/>
      <c r="N30" s="362"/>
      <c r="O30" s="364"/>
      <c r="P30" s="318">
        <v>3465</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387924</v>
      </c>
      <c r="AU30" s="321">
        <v>0</v>
      </c>
      <c r="AV30" s="368"/>
      <c r="AW30" s="374"/>
    </row>
    <row r="31" spans="2:49" s="5" customFormat="1" ht="25.5" x14ac:dyDescent="0.2">
      <c r="B31" s="345" t="s">
        <v>84</v>
      </c>
      <c r="C31" s="331"/>
      <c r="D31" s="365"/>
      <c r="E31" s="319"/>
      <c r="F31" s="319"/>
      <c r="G31" s="319"/>
      <c r="H31" s="319"/>
      <c r="I31" s="318">
        <v>0</v>
      </c>
      <c r="J31" s="365"/>
      <c r="K31" s="319">
        <v>-15821.05</v>
      </c>
      <c r="L31" s="319"/>
      <c r="M31" s="319"/>
      <c r="N31" s="319"/>
      <c r="O31" s="318"/>
      <c r="P31" s="365"/>
      <c r="Q31" s="319">
        <v>-2423.0500000000002</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91870</v>
      </c>
      <c r="K32" s="363"/>
      <c r="L32" s="363"/>
      <c r="M32" s="363"/>
      <c r="N32" s="363"/>
      <c r="O32" s="365"/>
      <c r="P32" s="318">
        <v>5888</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489738</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33587039</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1552116</v>
      </c>
      <c r="AU34" s="321">
        <v>0</v>
      </c>
      <c r="AV34" s="368"/>
      <c r="AW34" s="374"/>
    </row>
    <row r="35" spans="2:49" s="5" customFormat="1" x14ac:dyDescent="0.2">
      <c r="B35" s="345" t="s">
        <v>91</v>
      </c>
      <c r="C35" s="331"/>
      <c r="D35" s="365"/>
      <c r="E35" s="319">
        <v>33587038.899999999</v>
      </c>
      <c r="F35" s="319"/>
      <c r="G35" s="319"/>
      <c r="H35" s="319"/>
      <c r="I35" s="318">
        <v>0</v>
      </c>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39054075</v>
      </c>
      <c r="E36" s="319">
        <v>39054074.850000001</v>
      </c>
      <c r="F36" s="319"/>
      <c r="G36" s="319"/>
      <c r="H36" s="319"/>
      <c r="I36" s="318">
        <v>0</v>
      </c>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1950756</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-549573</v>
      </c>
      <c r="E38" s="362"/>
      <c r="F38" s="362"/>
      <c r="G38" s="362"/>
      <c r="H38" s="362"/>
      <c r="I38" s="364"/>
      <c r="J38" s="318">
        <v>0</v>
      </c>
      <c r="K38" s="362"/>
      <c r="L38" s="362"/>
      <c r="M38" s="362"/>
      <c r="N38" s="362"/>
      <c r="O38" s="364"/>
      <c r="P38" s="318">
        <v>1775495</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-8444</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-55806900</v>
      </c>
      <c r="E41" s="362"/>
      <c r="F41" s="362"/>
      <c r="G41" s="362"/>
      <c r="H41" s="362"/>
      <c r="I41" s="364"/>
      <c r="J41" s="318">
        <v>0</v>
      </c>
      <c r="K41" s="362"/>
      <c r="L41" s="362"/>
      <c r="M41" s="362"/>
      <c r="N41" s="362"/>
      <c r="O41" s="364"/>
      <c r="P41" s="318">
        <v>41487</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v>-49996.23</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-2000961</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v>0</v>
      </c>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1436998</v>
      </c>
      <c r="E49" s="319">
        <v>4930233.6499999994</v>
      </c>
      <c r="F49" s="319"/>
      <c r="G49" s="319"/>
      <c r="H49" s="319"/>
      <c r="I49" s="318">
        <v>3224011</v>
      </c>
      <c r="J49" s="318">
        <v>697481</v>
      </c>
      <c r="K49" s="319">
        <v>2776021.5188434827</v>
      </c>
      <c r="L49" s="319"/>
      <c r="M49" s="319"/>
      <c r="N49" s="319"/>
      <c r="O49" s="318"/>
      <c r="P49" s="318">
        <v>331378</v>
      </c>
      <c r="Q49" s="319">
        <v>1321690.4899974717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-16291</v>
      </c>
      <c r="AU49" s="321">
        <v>0</v>
      </c>
      <c r="AV49" s="368"/>
      <c r="AW49" s="374"/>
    </row>
    <row r="50" spans="2:49" x14ac:dyDescent="0.2">
      <c r="B50" s="343" t="s">
        <v>119</v>
      </c>
      <c r="C50" s="331" t="s">
        <v>34</v>
      </c>
      <c r="D50" s="318">
        <v>598846</v>
      </c>
      <c r="E50" s="363"/>
      <c r="F50" s="363"/>
      <c r="G50" s="363"/>
      <c r="H50" s="363"/>
      <c r="I50" s="365"/>
      <c r="J50" s="318">
        <v>721635</v>
      </c>
      <c r="K50" s="363"/>
      <c r="L50" s="363"/>
      <c r="M50" s="363"/>
      <c r="N50" s="363"/>
      <c r="O50" s="365"/>
      <c r="P50" s="318">
        <v>239686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15807</v>
      </c>
      <c r="AU50" s="321">
        <v>0</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0</v>
      </c>
      <c r="K53" s="319">
        <v>300743.34897602221</v>
      </c>
      <c r="L53" s="319"/>
      <c r="M53" s="319"/>
      <c r="N53" s="319"/>
      <c r="O53" s="318"/>
      <c r="P53" s="318">
        <v>0</v>
      </c>
      <c r="Q53" s="319">
        <v>-396914.98026824609</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224185611</v>
      </c>
      <c r="E54" s="323">
        <f>E24+E27+E31+E35-E36+E39+E42+E45+E46-E49+E51+E52+E53</f>
        <v>262184110.27559996</v>
      </c>
      <c r="F54" s="323">
        <f>F24+F27+F31+F35-F36+F39+F42+F45+F46-F49+F51+F52+F53</f>
        <v>0</v>
      </c>
      <c r="G54" s="323">
        <f>G24+G27+G31+G35-G36+G39+G42+G45+G46-G49+G51+G52+G53</f>
        <v>0</v>
      </c>
      <c r="H54" s="323">
        <f>H24+H27+H31+H35-H36+H39+H42+H45+H46-H49+H51+H52+H53</f>
        <v>0</v>
      </c>
      <c r="I54" s="322">
        <f>I24+I27+I31+I35-I36+I39+I42+I45+I46-I49+I51+I52+I53</f>
        <v>152158542</v>
      </c>
      <c r="J54" s="322">
        <f>J23+J26-J28+J30-J32+J34-J36+J38+J41-J43+J45+J46-J47-J49+J50+J51+J52+J53</f>
        <v>187768323</v>
      </c>
      <c r="K54" s="323">
        <f>K24+K27+K31+K35-K36+K39+K42+K45+K46-K49+K51+K52+K53</f>
        <v>98773798.053440049</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94999435</v>
      </c>
      <c r="Q54" s="323">
        <f>Q24+Q27+Q31+Q35-Q36+Q39+Q42+Q45+Q46-Q49+Q51+Q52+Q53</f>
        <v>46973226.894417956</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27659122</v>
      </c>
      <c r="AU54" s="324">
        <f>AU23+AU26-AU28+AU30-AU32+AU34-AU36+AU38+AU41-AU43+AU45+AU46-AU47-AU49+AU50+AU51+AU52+AU53</f>
        <v>0</v>
      </c>
      <c r="AV54" s="368"/>
      <c r="AW54" s="374"/>
    </row>
    <row r="55" spans="2:49" ht="25.5" x14ac:dyDescent="0.2">
      <c r="B55" s="348" t="s">
        <v>493</v>
      </c>
      <c r="C55" s="335" t="s">
        <v>28</v>
      </c>
      <c r="D55" s="322">
        <f t="shared" ref="D55:AC55" si="0">MIN(MAX(0,D56),MAX(0,D57))</f>
        <v>438794.02</v>
      </c>
      <c r="E55" s="323">
        <f t="shared" si="0"/>
        <v>428712.12</v>
      </c>
      <c r="F55" s="323">
        <f t="shared" si="0"/>
        <v>0</v>
      </c>
      <c r="G55" s="323">
        <f t="shared" si="0"/>
        <v>0</v>
      </c>
      <c r="H55" s="323">
        <f t="shared" si="0"/>
        <v>0</v>
      </c>
      <c r="I55" s="322">
        <f t="shared" si="0"/>
        <v>146871</v>
      </c>
      <c r="J55" s="322">
        <f t="shared" si="0"/>
        <v>315230.71999999997</v>
      </c>
      <c r="K55" s="323">
        <f t="shared" si="0"/>
        <v>160137.48035468996</v>
      </c>
      <c r="L55" s="323">
        <f t="shared" si="0"/>
        <v>0</v>
      </c>
      <c r="M55" s="323">
        <f t="shared" si="0"/>
        <v>0</v>
      </c>
      <c r="N55" s="323">
        <f t="shared" si="0"/>
        <v>0</v>
      </c>
      <c r="O55" s="322">
        <f t="shared" si="0"/>
        <v>0</v>
      </c>
      <c r="P55" s="322">
        <f t="shared" si="0"/>
        <v>151594.46</v>
      </c>
      <c r="Q55" s="323">
        <f t="shared" si="0"/>
        <v>86398.809645310044</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438794.02</v>
      </c>
      <c r="E56" s="319">
        <v>428712.12</v>
      </c>
      <c r="F56" s="319"/>
      <c r="G56" s="319"/>
      <c r="H56" s="319"/>
      <c r="I56" s="318">
        <v>146871</v>
      </c>
      <c r="J56" s="318">
        <v>315230.71999999997</v>
      </c>
      <c r="K56" s="319">
        <v>160137.48035468996</v>
      </c>
      <c r="L56" s="319"/>
      <c r="M56" s="319"/>
      <c r="N56" s="319"/>
      <c r="O56" s="318"/>
      <c r="P56" s="318">
        <v>151594.46</v>
      </c>
      <c r="Q56" s="319">
        <v>86398.809645310044</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756207</v>
      </c>
      <c r="E57" s="319">
        <v>753982.45</v>
      </c>
      <c r="F57" s="319"/>
      <c r="G57" s="319"/>
      <c r="H57" s="319"/>
      <c r="I57" s="318">
        <v>274876</v>
      </c>
      <c r="J57" s="318">
        <v>600641</v>
      </c>
      <c r="K57" s="319">
        <v>318885.84999999998</v>
      </c>
      <c r="L57" s="319"/>
      <c r="M57" s="319"/>
      <c r="N57" s="319"/>
      <c r="O57" s="318"/>
      <c r="P57" s="318">
        <v>322722</v>
      </c>
      <c r="Q57" s="319">
        <v>167897.73</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358116</v>
      </c>
      <c r="AU57" s="321">
        <v>0</v>
      </c>
      <c r="AV57" s="321">
        <v>0</v>
      </c>
      <c r="AW57" s="374"/>
    </row>
    <row r="58" spans="2:49" s="5" customFormat="1" x14ac:dyDescent="0.2">
      <c r="B58" s="351" t="s">
        <v>494</v>
      </c>
      <c r="C58" s="352"/>
      <c r="D58" s="353"/>
      <c r="E58" s="354">
        <v>4325196.62</v>
      </c>
      <c r="F58" s="354"/>
      <c r="G58" s="354"/>
      <c r="H58" s="354"/>
      <c r="I58" s="353">
        <v>3521490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146613470.05000001</v>
      </c>
      <c r="D5" s="403">
        <v>236026381.61000001</v>
      </c>
      <c r="E5" s="454"/>
      <c r="F5" s="454"/>
      <c r="G5" s="448"/>
      <c r="H5" s="402">
        <v>163231082.15000001</v>
      </c>
      <c r="I5" s="403">
        <v>133136252.31</v>
      </c>
      <c r="J5" s="454"/>
      <c r="K5" s="454"/>
      <c r="L5" s="448"/>
      <c r="M5" s="402">
        <v>105425262.89</v>
      </c>
      <c r="N5" s="403">
        <v>56162989.409999996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147456580.2735</v>
      </c>
      <c r="D6" s="398">
        <v>238711740.27110001</v>
      </c>
      <c r="E6" s="400">
        <f>SUM('Pt 1 Summary of Data'!E$12,'Pt 1 Summary of Data'!E$22)+SUM('Pt 1 Summary of Data'!G$12,'Pt 1 Summary of Data'!G$22)-SUM('Pt 1 Summary of Data'!H$12,'Pt 1 Summary of Data'!H$22)</f>
        <v>262612822.39559996</v>
      </c>
      <c r="F6" s="400">
        <f t="shared" ref="F6:F11" si="0">SUM(C6:E6)</f>
        <v>648781142.94019997</v>
      </c>
      <c r="G6" s="401">
        <f>SUM('Pt 1 Summary of Data'!I$12,'Pt 1 Summary of Data'!I$22)</f>
        <v>152305413</v>
      </c>
      <c r="H6" s="397">
        <v>163167845.39008573</v>
      </c>
      <c r="I6" s="398">
        <v>131977535.74736169</v>
      </c>
      <c r="J6" s="400">
        <f>SUM('Pt 1 Summary of Data'!K$12,'Pt 1 Summary of Data'!K$22)+SUM('Pt 1 Summary of Data'!M$12,'Pt 1 Summary of Data'!M$22)-SUM('Pt 1 Summary of Data'!N$12,'Pt 1 Summary of Data'!N$22)</f>
        <v>98933935.533794746</v>
      </c>
      <c r="K6" s="400">
        <f>SUM(H6:J6)</f>
        <v>394079316.67124218</v>
      </c>
      <c r="L6" s="401">
        <f>SUM('Pt 1 Summary of Data'!O$12,'Pt 1 Summary of Data'!O$22)</f>
        <v>0</v>
      </c>
      <c r="M6" s="397">
        <v>105230236.99682473</v>
      </c>
      <c r="N6" s="398">
        <v>56384030.776198894</v>
      </c>
      <c r="O6" s="400">
        <f>SUM('Pt 1 Summary of Data'!Q$12,'Pt 1 Summary of Data'!Q$22)+SUM('Pt 1 Summary of Data'!S$12,'Pt 1 Summary of Data'!S$22)-SUM('Pt 1 Summary of Data'!T$12,'Pt 1 Summary of Data'!T$22)</f>
        <v>47059625.704063267</v>
      </c>
      <c r="P6" s="400">
        <f>SUM(M6:O6)</f>
        <v>208673893.47708687</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4052937.91</v>
      </c>
      <c r="D7" s="398">
        <v>3788831.39</v>
      </c>
      <c r="E7" s="400">
        <f>SUM('Pt 1 Summary of Data'!E$37:E$41)+SUM('Pt 1 Summary of Data'!G$37:G$41)-SUM('Pt 1 Summary of Data'!H$37:H$41)+MAX(0,MIN('Pt 1 Summary of Data'!E$42+'Pt 1 Summary of Data'!G$42-'Pt 1 Summary of Data'!H$42,0.3%*('Pt 1 Summary of Data'!E$5+'Pt 1 Summary of Data'!G$5-'Pt 1 Summary of Data'!H$5-SUM(E$9:E$11))))</f>
        <v>3556988.03</v>
      </c>
      <c r="F7" s="400">
        <f t="shared" si="0"/>
        <v>11398757.33</v>
      </c>
      <c r="G7" s="401">
        <f>SUM('Pt 1 Summary of Data'!I$37:I$41)+MAX(0,MIN(VALUE('Pt 1 Summary of Data'!I$42),0.3%*('Pt 1 Summary of Data'!I$5-SUM(G$9:G$10))))</f>
        <v>868571</v>
      </c>
      <c r="H7" s="397">
        <v>3702600.68</v>
      </c>
      <c r="I7" s="398">
        <v>2870986.5</v>
      </c>
      <c r="J7" s="400">
        <f>SUM('Pt 1 Summary of Data'!K$37:K$41)+SUM('Pt 1 Summary of Data'!M$37:M$41)-SUM('Pt 1 Summary of Data'!N$37:N$41)+MAX(0,MIN('Pt 1 Summary of Data'!K$42+'Pt 1 Summary of Data'!M$42-'Pt 1 Summary of Data'!N$42,0.3%*('Pt 1 Summary of Data'!K$5+'Pt 1 Summary of Data'!M$5-'Pt 1 Summary of Data'!N$5-SUM(J$10:J$11))))</f>
        <v>1663884.6234854392</v>
      </c>
      <c r="K7" s="400">
        <f>SUM(H7:J7)</f>
        <v>8237471.8034854392</v>
      </c>
      <c r="L7" s="401">
        <f>SUM('Pt 1 Summary of Data'!O$37:O$41)+MAX(0,MIN(VALUE('Pt 1 Summary of Data'!O$42),0.3%*('Pt 1 Summary of Data'!O$5-L$10)))</f>
        <v>0</v>
      </c>
      <c r="M7" s="397">
        <v>2398101.5499999998</v>
      </c>
      <c r="N7" s="398">
        <v>1349067.71</v>
      </c>
      <c r="O7" s="400">
        <f>SUM('Pt 1 Summary of Data'!Q$37:Q$41)+SUM('Pt 1 Summary of Data'!S$37:S$41)-SUM('Pt 1 Summary of Data'!T$37:T$41)+MAX(0,MIN('Pt 1 Summary of Data'!Q$42+'Pt 1 Summary of Data'!S$42-'Pt 1 Summary of Data'!T$42,0.3%*('Pt 1 Summary of Data'!Q$5+'Pt 1 Summary of Data'!S$5-'Pt 1 Summary of Data'!T$5)))</f>
        <v>1414615.1465145606</v>
      </c>
      <c r="P7" s="400">
        <f>SUM(M7:O7)</f>
        <v>5161784.4065145608</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2164816.0299999998</v>
      </c>
      <c r="E8" s="400">
        <f>'Pt 2 Premium and Claims'!E58+'Pt 2 Premium and Claims'!G58-'Pt 2 Premium and Claims'!H58</f>
        <v>4325196.62</v>
      </c>
      <c r="F8" s="400">
        <f t="shared" si="0"/>
        <v>6490012.6500000004</v>
      </c>
      <c r="G8" s="401">
        <f>'Pt 2 Premium and Claims'!I58</f>
        <v>3521490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21797558.59</v>
      </c>
      <c r="E9" s="400">
        <f>'Pt 2 Premium and Claims'!E$15+'Pt 2 Premium and Claims'!G$15-'Pt 2 Premium and Claims'!H$15</f>
        <v>22949252.239999998</v>
      </c>
      <c r="F9" s="400">
        <f t="shared" si="0"/>
        <v>44746810.829999998</v>
      </c>
      <c r="G9" s="401">
        <f>'Pt 2 Premium and Claims'!I$15</f>
        <v>22949252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5252230.8499999996</v>
      </c>
      <c r="E10" s="400">
        <f>'Pt 2 Premium and Claims'!E$16+'Pt 2 Premium and Claims'!G$16-'Pt 2 Premium and Claims'!H$16</f>
        <v>16542107.09</v>
      </c>
      <c r="F10" s="400">
        <f t="shared" si="0"/>
        <v>21794337.939999998</v>
      </c>
      <c r="G10" s="401">
        <f>'Pt 2 Premium and Claims'!I$16</f>
        <v>16542107</v>
      </c>
      <c r="H10" s="443"/>
      <c r="I10" s="398">
        <v>-1054938.24</v>
      </c>
      <c r="J10" s="400">
        <f>'Pt 2 Premium and Claims'!K$16+'Pt 2 Premium and Claims'!M$16-'Pt 2 Premium and Claims'!N$16</f>
        <v>-1192747.03</v>
      </c>
      <c r="K10" s="400">
        <f>SUM(H10:J10)</f>
        <v>-2247685.27</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616161.7977</v>
      </c>
      <c r="E11" s="400">
        <f>'Pt 2 Premium and Claims'!E$17+'Pt 2 Premium and Claims'!G$17-'Pt 2 Premium and Claims'!H$17</f>
        <v>0</v>
      </c>
      <c r="F11" s="400">
        <f t="shared" si="0"/>
        <v>616161.7977</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151509518.18349999</v>
      </c>
      <c r="D12" s="400">
        <f>SUM(D$6:D$7) - SUM(D$8:D$11)+IF(AND(OR('Company Information'!$C$12="District of Columbia",'Company Information'!$C$12="Massachusetts",'Company Information'!$C$12="Vermont"),SUM($C$6:$F$11,$C$15:$F$16,$C$38:$D$38)&lt;&gt;0),SUM(I$6:I$7) - SUM(I$10:I$11),0)</f>
        <v>212669804.39340001</v>
      </c>
      <c r="E12" s="400">
        <f>SUM(E$6:E$7)-SUM(E$8:E$11)+IF(AND(OR('Company Information'!$C$12="District of Columbia",'Company Information'!$C$12="Massachusetts",'Company Information'!$C$12="Vermont"),SUM($C$6:$F$11,$C$15:$F$16,$C$38:$D$38)&lt;&gt;0),SUM(J$6:J$7)-SUM(J$10:J$11),0)</f>
        <v>222353254.47559994</v>
      </c>
      <c r="F12" s="400">
        <f>IFERROR(SUM(C$12:E$12)+C$17*MAX(0,E$50-C$50)+D$17*MAX(0,E$50-D$50),0)</f>
        <v>586532577.05250001</v>
      </c>
      <c r="G12" s="447"/>
      <c r="H12" s="399">
        <f>SUM(H$6:H$7)+IF(AND(OR('Company Information'!$C$12="District of Columbia",'Company Information'!$C$12="Massachusetts",'Company Information'!$C$12="Vermont"),SUM($H$6:$K$11,$H$15:$K$16,$H$38:$I$38)&lt;&gt;0),SUM(C$6:C$7),0)</f>
        <v>166870446.07008573</v>
      </c>
      <c r="I12" s="400">
        <f>SUM(I$6:I$7) - SUM(I$10:I$11)+IF(AND(OR('Company Information'!$C$12="District of Columbia",'Company Information'!$C$12="Massachusetts",'Company Information'!$C$12="Vermont"),SUM($H$6:$K$11,$H$15:$K$16,$H$38:$I$38)&lt;&gt;0),SUM(D$6:D$7) - SUM(D$8:D$11),0)</f>
        <v>135903460.4873617</v>
      </c>
      <c r="J12" s="400">
        <f>SUM(J$6:J$7)-SUM(J$10:J$11)+IF(AND(OR('Company Information'!$C$12="District of Columbia",'Company Information'!$C$12="Massachusetts",'Company Information'!$C$12="Vermont"),SUM($H$6:$K$11,$H$15:$K$16,$H$38:$I$38)&lt;&gt;0),SUM(E$6:E$7)-SUM(E$8:E$11),0)</f>
        <v>101790567.18728019</v>
      </c>
      <c r="K12" s="400">
        <f>IFERROR(SUM(H$12:J$12)+H$17*MAX(0,J$50-H$50)+I$17*MAX(0,J$50-I$50),0)</f>
        <v>404564473.74472761</v>
      </c>
      <c r="L12" s="447"/>
      <c r="M12" s="399">
        <f>SUM(M$6:M$7)</f>
        <v>107628338.54682472</v>
      </c>
      <c r="N12" s="400">
        <f>SUM(N$6:N$7)</f>
        <v>57733098.486198895</v>
      </c>
      <c r="O12" s="400">
        <f>SUM(O$6:O$7)</f>
        <v>48474240.850577824</v>
      </c>
      <c r="P12" s="400">
        <f>SUM(M$12:O$12)+M$17*MAX(0,O$50-M$50)+N$17*MAX(0,O$50-N$50)</f>
        <v>213835677.88360146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180591964.33000001</v>
      </c>
      <c r="D15" s="403">
        <v>226065499.81999999</v>
      </c>
      <c r="E15" s="395">
        <f>SUM('Pt 1 Summary of Data'!E$5:E$7)+SUM('Pt 1 Summary of Data'!G$5:G$7)-SUM('Pt 1 Summary of Data'!H$5:H$7)-SUM(E$9:E$11)</f>
        <v>230135770.10257399</v>
      </c>
      <c r="F15" s="395">
        <f>SUM(C15:E15)</f>
        <v>636793234.25257397</v>
      </c>
      <c r="G15" s="396">
        <f>SUM('Pt 1 Summary of Data'!I$5:I$7)-SUM(G$9:G$10)</f>
        <v>90210220</v>
      </c>
      <c r="H15" s="402">
        <v>203688303.47</v>
      </c>
      <c r="I15" s="403">
        <v>173463721.56999999</v>
      </c>
      <c r="J15" s="395">
        <f>SUM('Pt 1 Summary of Data'!K$5:K$7)+SUM('Pt 1 Summary of Data'!M$5:M$7)-SUM('Pt 1 Summary of Data'!N$5:N$7)-SUM(J$10:J$11)</f>
        <v>133535679.8028542</v>
      </c>
      <c r="K15" s="395">
        <f>SUM(H15:J15)</f>
        <v>510687704.84285414</v>
      </c>
      <c r="L15" s="396">
        <f>SUM('Pt 1 Summary of Data'!O$5:O$7)-L$10</f>
        <v>0</v>
      </c>
      <c r="M15" s="402">
        <v>128667148.04000001</v>
      </c>
      <c r="N15" s="403">
        <v>71918046.469999999</v>
      </c>
      <c r="O15" s="395">
        <f>SUM('Pt 1 Summary of Data'!Q$5:Q$7)+SUM('Pt 1 Summary of Data'!S$5:S$7)-SUM('Pt 1 Summary of Data'!T$5:T$7)+N$56</f>
        <v>57325220.3659622</v>
      </c>
      <c r="P15" s="395">
        <f>SUM(M15:O15)</f>
        <v>257910414.8759622</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1951597.21</v>
      </c>
      <c r="D16" s="398">
        <v>5428440.8600000003</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-7744378.6607152494</v>
      </c>
      <c r="F16" s="400">
        <f>SUM(C16:E16)</f>
        <v>-364340.59071524907</v>
      </c>
      <c r="G16" s="401">
        <f>SUM('Pt 1 Summary of Data'!I$25:I$28,'Pt 1 Summary of Data'!I$30,'Pt 1 Summary of Data'!I$34:I$35)+IF('Company Information'!$C$15="No",IF(MAX('Pt 1 Summary of Data'!I$31:I$32)=0,MIN('Pt 1 Summary of Data'!I$31:I$32),MAX('Pt 1 Summary of Data'!I$31:I$32)),SUM('Pt 1 Summary of Data'!I$31:I$32))</f>
        <v>-16467611</v>
      </c>
      <c r="H16" s="397">
        <v>8148532.0700000003</v>
      </c>
      <c r="I16" s="398">
        <v>14076007.779999999</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11232057.274899283</v>
      </c>
      <c r="K16" s="400">
        <f>SUM(H16:J16)</f>
        <v>33456597.124899283</v>
      </c>
      <c r="L16" s="401">
        <f>SUM('Pt 1 Summary of Data'!O$25:O$28,'Pt 1 Summary of Data'!O$30,'Pt 1 Summary of Data'!O$34:O$35)+IF('Company Information'!$C$15="No",IF(MAX('Pt 1 Summary of Data'!O$31:O$32)=0,MIN('Pt 1 Summary of Data'!O$31:O$32),MAX('Pt 1 Summary of Data'!O$31:O$32)),SUM('Pt 1 Summary of Data'!O$31:O$32))</f>
        <v>0</v>
      </c>
      <c r="M16" s="397">
        <v>2933248.75</v>
      </c>
      <c r="N16" s="398">
        <v>1389227.11</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2585346.3563725995</v>
      </c>
      <c r="P16" s="400">
        <f>SUM(M16:O16)</f>
        <v>6907822.2163725998</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178640367.12</v>
      </c>
      <c r="D17" s="400">
        <f>D$15-D$16+IF(AND(OR('Company Information'!$C$12="District of Columbia",'Company Information'!$C$12="Massachusetts",'Company Information'!$C$12="Vermont"),SUM($C$6:$F$11,$C$15:$F$16,$C$38:$D$38)&lt;&gt;0),I$15-I$16,0)</f>
        <v>220637058.95999998</v>
      </c>
      <c r="E17" s="400">
        <f>E$15-E$16+IF(AND(OR('Company Information'!$C$12="District of Columbia",'Company Information'!$C$12="Massachusetts",'Company Information'!$C$12="Vermont"),SUM($C$6:$F$11,$C$15:$F$16,$C$38:$D$38)&lt;&gt;0),J$15-J$16,0)</f>
        <v>237880148.76328924</v>
      </c>
      <c r="F17" s="400">
        <f>F$15-F$16+IF(AND(OR('Company Information'!$C$12="District of Columbia",'Company Information'!$C$12="Massachusetts",'Company Information'!$C$12="Vermont"),SUM($C$6:$F$11,$C$15:$F$16,$C$38:$D$38)&lt;&gt;0),K$15-K$16,0)</f>
        <v>637157574.84328926</v>
      </c>
      <c r="G17" s="450"/>
      <c r="H17" s="399">
        <f>H$15-H$16+IF(AND(OR('Company Information'!$C$12="District of Columbia",'Company Information'!$C$12="Massachusetts",'Company Information'!$C$12="Vermont"),SUM($H$6:$K$11,$H$15:$K$16,$H$38:$I$38)&lt;&gt;0),C$15-C$16,0)</f>
        <v>195539771.40000001</v>
      </c>
      <c r="I17" s="400">
        <f>I$15-I$16+IF(AND(OR('Company Information'!$C$12="District of Columbia",'Company Information'!$C$12="Massachusetts",'Company Information'!$C$12="Vermont"),SUM($H$6:$K$11,$H$15:$K$16,$H$38:$I$38)&lt;&gt;0),D$15-D$16,0)</f>
        <v>159387713.78999999</v>
      </c>
      <c r="J17" s="400">
        <f>J$15-J$16+IF(AND(OR('Company Information'!$C$12="District of Columbia",'Company Information'!$C$12="Massachusetts",'Company Information'!$C$12="Vermont"),SUM($H$6:$K$11,$H$15:$K$16,$H$38:$I$38)&lt;&gt;0),E$15-E$16,0)</f>
        <v>122303622.52795491</v>
      </c>
      <c r="K17" s="400">
        <f>K$15-K$16+IF(AND(OR('Company Information'!$C$12="District of Columbia",'Company Information'!$C$12="Massachusetts",'Company Information'!$C$12="Vermont"),SUM($H$6:$K$11,$H$15:$K$16,$H$38:$I$38)&lt;&gt;0),F$15-F$16,0)</f>
        <v>477231107.71795487</v>
      </c>
      <c r="L17" s="450"/>
      <c r="M17" s="399">
        <f>M$15-M$16</f>
        <v>125733899.29000001</v>
      </c>
      <c r="N17" s="400">
        <f>N$15-N$16</f>
        <v>70528819.359999999</v>
      </c>
      <c r="O17" s="400">
        <f>O$15-O$16</f>
        <v>54739874.009589598</v>
      </c>
      <c r="P17" s="400">
        <f>P$15-P$16</f>
        <v>251002592.65958959</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111136631</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12019464</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5333891.5500000007</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-16478264</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5333891.5500000007</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3200334.9299999997</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885744.55000000075</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885744.55000000075</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7001511.8200000003</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89324475.450000003</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-1247812.0700000003</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3200334.9299999997</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-1247812.0700000003</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4867955.200000003</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91458032.069999993</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1.2151653439791754</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12176016</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6405541</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88049</v>
      </c>
      <c r="D38" s="405">
        <v>96073</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80036.25</v>
      </c>
      <c r="F38" s="432">
        <f>SUM(C$38:E$38)+IF(AND(OR('Company Information'!$C$12="District of Columbia",'Company Information'!$C$12="Massachusetts",'Company Information'!$C$12="Vermont"),SUM($C$6:$F$11,$C$15:$F$16,$C$38:$D$38)&lt;&gt;0,SUM(C$38:D$38)&lt;&gt;SUM(H$38:I$38)),SUM(H$38:I$38),0)</f>
        <v>264158.25</v>
      </c>
      <c r="G38" s="448"/>
      <c r="H38" s="404">
        <v>43371</v>
      </c>
      <c r="I38" s="405">
        <v>34105.83</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24294.083333333332</v>
      </c>
      <c r="K38" s="432">
        <f>SUM(H$38:J$38)+IF(AND(OR('Company Information'!$C$12="District of Columbia",'Company Information'!$C$12="Massachusetts",'Company Information'!$C$12="Vermont"),SUM($H$6:$K$11,$H$15:$K$16,$H$38:$I$38)&lt;&gt;0,SUM(H$38:I$38)&lt;&gt;SUM(C$38:D$38)),SUM(C$38:D$38),0)</f>
        <v>101770.91333333333</v>
      </c>
      <c r="L38" s="448"/>
      <c r="M38" s="404">
        <v>35050</v>
      </c>
      <c r="N38" s="405">
        <v>16172.92</v>
      </c>
      <c r="O38" s="432">
        <f>('Pt 1 Summary of Data'!Q$59+'Pt 1 Summary of Data'!S$59-'Pt 1 Summary of Data'!T$59)/12</f>
        <v>12445.5</v>
      </c>
      <c r="P38" s="432">
        <f>SUM(M$38:O$38)</f>
        <v>63668.42</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5.4391584000000014E-3</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8824</v>
      </c>
      <c r="G40" s="447"/>
      <c r="H40" s="443"/>
      <c r="I40" s="441"/>
      <c r="J40" s="441"/>
      <c r="K40" s="398">
        <v>2606</v>
      </c>
      <c r="L40" s="447"/>
      <c r="M40" s="443"/>
      <c r="N40" s="441"/>
      <c r="O40" s="441"/>
      <c r="P40" s="398">
        <v>2500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1.6574431999999999</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1.1740911999999999</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1.1639999999999999</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 ca="1">IF(OR(P$38&lt;1000,P$38&gt;=75000),0,P$39*P$41)</f>
        <v>6.3311803776000012E-3</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0.8481258778522599</v>
      </c>
      <c r="D45" s="436">
        <f>IF(OR(D$38&lt;1000,D$17&lt;=0),"",D$12/D$17)</f>
        <v>0.96388977171761347</v>
      </c>
      <c r="E45" s="436">
        <f>IF(OR(E$38&lt;1000,E$17&lt;=0),"",E$12/E$17)</f>
        <v>0.93472807895735821</v>
      </c>
      <c r="F45" s="436">
        <f>IF(OR(F$38&lt;1000,F$17&lt;=0),"",F$12/F$17)</f>
        <v>0.92054556080065342</v>
      </c>
      <c r="G45" s="447"/>
      <c r="H45" s="438">
        <f>IF(OR(H$38&lt;1000,H$17&lt;=0),"",H$12/H$17)</f>
        <v>0.85338366141756539</v>
      </c>
      <c r="I45" s="436">
        <f>IF(OR(I$38&lt;1000,I$17&lt;=0),"",I$12/I$17)</f>
        <v>0.85265957617298038</v>
      </c>
      <c r="J45" s="436">
        <f>IF(OR(J$38&lt;1000,J$17&lt;=0),"",J$12/J$17)</f>
        <v>0.83227761437739878</v>
      </c>
      <c r="K45" s="436">
        <f>IF(OR(K$38&lt;1000,K$17&lt;=0),"",K$12/K$17)</f>
        <v>0.84773282211063772</v>
      </c>
      <c r="L45" s="447"/>
      <c r="M45" s="438">
        <f>IF(OR(M$38&lt;1000,M$17&lt;=0),"",M$12/M$17)</f>
        <v>0.85600096039799445</v>
      </c>
      <c r="N45" s="436">
        <f>IF(OR(N$38&lt;1000,N$17&lt;=0),"",N$12/N$17)</f>
        <v>0.81857457717407756</v>
      </c>
      <c r="O45" s="436">
        <f>IF(OR(O$38&lt;1000,O$17&lt;=0),"",O$12/O$17)</f>
        <v>0.88553804201459929</v>
      </c>
      <c r="P45" s="436">
        <f>IF(OR(P$38&lt;1000,P$17&lt;=0),"",P$12/P$17)</f>
        <v>0.85192617182885433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IF(F$45="","",F$42)</f>
        <v>0</v>
      </c>
      <c r="G47" s="447"/>
      <c r="H47" s="443"/>
      <c r="I47" s="441"/>
      <c r="J47" s="441"/>
      <c r="K47" s="436">
        <f>IF(K$45="","",K$42)</f>
        <v>0</v>
      </c>
      <c r="L47" s="447"/>
      <c r="M47" s="443"/>
      <c r="N47" s="441"/>
      <c r="O47" s="441"/>
      <c r="P47" s="436">
        <f ca="1">IF(P$45="","",P$42)</f>
        <v>6.3311803776000012E-3</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IF(F$45="","",ROUND(F$45+MAX(0,F$47),3))</f>
        <v>0.92100000000000004</v>
      </c>
      <c r="G48" s="447"/>
      <c r="H48" s="443"/>
      <c r="I48" s="441"/>
      <c r="J48" s="441"/>
      <c r="K48" s="436">
        <f>IF(K$45="","",ROUND(K$45+MAX(0,K$47),3))</f>
        <v>0.84799999999999998</v>
      </c>
      <c r="L48" s="447"/>
      <c r="M48" s="443"/>
      <c r="N48" s="441"/>
      <c r="O48" s="441"/>
      <c r="P48" s="436">
        <f ca="1">IF(P$45="","",ROUND(P$45+MAX(0,P$47),3))</f>
        <v>0.85799999999999998</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F$48</f>
        <v>0.92100000000000004</v>
      </c>
      <c r="G51" s="447"/>
      <c r="H51" s="444"/>
      <c r="I51" s="442"/>
      <c r="J51" s="442"/>
      <c r="K51" s="436">
        <f>K$48</f>
        <v>0.84799999999999998</v>
      </c>
      <c r="L51" s="447"/>
      <c r="M51" s="444"/>
      <c r="N51" s="442"/>
      <c r="O51" s="442"/>
      <c r="P51" s="436">
        <f ca="1">P$48</f>
        <v>0.85799999999999998</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237880148.76328924</v>
      </c>
      <c r="G52" s="447"/>
      <c r="H52" s="443"/>
      <c r="I52" s="441"/>
      <c r="J52" s="441"/>
      <c r="K52" s="400">
        <f>IF(K$38&lt;1000,"",MAX(0,J$15-J$16))</f>
        <v>122303622.52795491</v>
      </c>
      <c r="L52" s="447"/>
      <c r="M52" s="443"/>
      <c r="N52" s="441"/>
      <c r="O52" s="441"/>
      <c r="P52" s="400">
        <f>IF(P$38&lt;1000,"",MAX(0,O$15-O$16))</f>
        <v>54739874.009589598</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 ca="1">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795353.7953</v>
      </c>
      <c r="D56" s="441"/>
      <c r="E56" s="441"/>
      <c r="F56" s="441"/>
      <c r="G56" s="447"/>
      <c r="H56" s="397">
        <v>1278081.6111699999</v>
      </c>
      <c r="I56" s="441"/>
      <c r="J56" s="441"/>
      <c r="K56" s="441"/>
      <c r="L56" s="447"/>
      <c r="M56" s="397">
        <v>349354.40084999998</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8499.0914570000004</v>
      </c>
      <c r="D57" s="441"/>
      <c r="E57" s="441"/>
      <c r="F57" s="441"/>
      <c r="G57" s="447"/>
      <c r="H57" s="397">
        <v>50591.94702</v>
      </c>
      <c r="I57" s="441"/>
      <c r="J57" s="441"/>
      <c r="K57" s="441"/>
      <c r="L57" s="447"/>
      <c r="M57" s="397">
        <v>7863.153354</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975496</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98697598</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99673094</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38210</v>
      </c>
      <c r="D4" s="104">
        <f>'Pt 1 Summary of Data'!$K$56+'Pt 1 Summary of Data'!$M$56-'Pt 1 Summary of Data'!$N$56</f>
        <v>14094</v>
      </c>
      <c r="E4" s="104">
        <f>'Pt 1 Summary of Data'!$Q$56+'Pt 1 Summary of Data'!$S$56-'Pt 1 Summary of Data'!$T$56</f>
        <v>5907</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 ca="1">'Pt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v>1763220.48</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v>1</v>
      </c>
      <c r="F18" s="106"/>
      <c r="G18" s="106"/>
      <c r="H18" s="106"/>
      <c r="I18" s="180"/>
      <c r="J18" s="180"/>
      <c r="K18" s="198"/>
    </row>
    <row r="19" spans="2:12" ht="25.5" x14ac:dyDescent="0.2">
      <c r="B19" s="116" t="s">
        <v>208</v>
      </c>
      <c r="C19" s="179"/>
      <c r="D19" s="106"/>
      <c r="E19" s="106">
        <v>1</v>
      </c>
      <c r="F19" s="188"/>
      <c r="G19" s="106"/>
      <c r="H19" s="106"/>
      <c r="I19" s="180"/>
      <c r="J19" s="180"/>
      <c r="K19" s="199"/>
    </row>
    <row r="20" spans="2:12" ht="25.5" x14ac:dyDescent="0.2">
      <c r="B20" s="116" t="s">
        <v>209</v>
      </c>
      <c r="C20" s="187"/>
      <c r="D20" s="106"/>
      <c r="E20" s="106">
        <v>1</v>
      </c>
      <c r="F20" s="106"/>
      <c r="G20" s="106"/>
      <c r="H20" s="106"/>
      <c r="I20" s="180"/>
      <c r="J20" s="180"/>
      <c r="K20" s="198"/>
    </row>
    <row r="21" spans="2:12" ht="25.5" x14ac:dyDescent="0.2">
      <c r="B21" s="116" t="s">
        <v>210</v>
      </c>
      <c r="C21" s="179"/>
      <c r="D21" s="106"/>
      <c r="E21" s="106">
        <v>1</v>
      </c>
      <c r="F21" s="188"/>
      <c r="G21" s="106"/>
      <c r="H21" s="106"/>
      <c r="I21" s="180"/>
      <c r="J21" s="180"/>
      <c r="K21" s="199"/>
    </row>
    <row r="22" spans="2:12" s="5" customFormat="1" x14ac:dyDescent="0.2">
      <c r="B22" s="126" t="s">
        <v>211</v>
      </c>
      <c r="C22" s="121"/>
      <c r="D22" s="127"/>
      <c r="E22" s="127">
        <v>148715.79999999999</v>
      </c>
      <c r="F22" s="127"/>
      <c r="G22" s="127"/>
      <c r="H22" s="127"/>
      <c r="I22" s="181"/>
      <c r="J22" s="181"/>
      <c r="K22" s="200"/>
    </row>
    <row r="23" spans="2:12" s="5" customFormat="1" ht="100.15" customHeight="1" x14ac:dyDescent="0.2">
      <c r="B23" s="91" t="s">
        <v>212</v>
      </c>
      <c r="C23" s="483" t="s">
        <v>512</v>
      </c>
      <c r="D23" s="484"/>
      <c r="E23" s="484"/>
      <c r="F23" s="484"/>
      <c r="G23" s="484"/>
      <c r="H23" s="484"/>
      <c r="I23" s="484"/>
      <c r="J23" s="484"/>
      <c r="K23" s="485"/>
    </row>
    <row r="24" spans="2:12" s="5" customFormat="1" ht="100.15" customHeight="1" x14ac:dyDescent="0.2">
      <c r="B24" s="90" t="s">
        <v>213</v>
      </c>
      <c r="C24" s="486" t="s">
        <v>513</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t="s">
        <v>508</v>
      </c>
      <c r="C9" s="28"/>
      <c r="D9" s="29"/>
      <c r="E9" s="29"/>
      <c r="F9" s="29"/>
      <c r="G9" s="29"/>
      <c r="H9" s="29"/>
      <c r="I9" s="27"/>
      <c r="J9" s="27"/>
      <c r="K9" s="2"/>
    </row>
    <row r="10" spans="1:12" s="5" customFormat="1" ht="18" customHeight="1" x14ac:dyDescent="0.2">
      <c r="B10" s="61" t="s">
        <v>509</v>
      </c>
      <c r="C10" s="28"/>
      <c r="D10" s="29"/>
      <c r="E10" s="29"/>
      <c r="F10" s="29"/>
      <c r="G10" s="29"/>
      <c r="H10" s="29"/>
      <c r="I10" s="27"/>
      <c r="J10" s="27"/>
      <c r="K10" s="2"/>
    </row>
    <row r="11" spans="1:12" s="5" customFormat="1" ht="18" customHeight="1" x14ac:dyDescent="0.2">
      <c r="B11" s="61" t="s">
        <v>510</v>
      </c>
      <c r="C11" s="28"/>
      <c r="D11" s="29"/>
      <c r="E11" s="29"/>
      <c r="F11" s="29"/>
      <c r="G11" s="29"/>
      <c r="H11" s="29"/>
      <c r="I11" s="27"/>
      <c r="J11" s="27"/>
      <c r="K11" s="2"/>
    </row>
    <row r="12" spans="1:12" s="5" customFormat="1" ht="18" customHeight="1" x14ac:dyDescent="0.2">
      <c r="B12" s="61" t="s">
        <v>511</v>
      </c>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