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Z55" i="18"/>
  <c r="Z22" i="4" s="1"/>
  <c r="Y55" i="18"/>
  <c r="Y22" i="4" s="1"/>
  <c r="X55" i="18"/>
  <c r="W55" i="18"/>
  <c r="V55" i="18"/>
  <c r="U55" i="18"/>
  <c r="T55" i="18"/>
  <c r="S55" i="18"/>
  <c r="R55" i="18"/>
  <c r="Q55" i="18"/>
  <c r="P55" i="18"/>
  <c r="P22" i="4" s="1"/>
  <c r="O55" i="18"/>
  <c r="N55" i="18"/>
  <c r="M55" i="18"/>
  <c r="L55" i="18"/>
  <c r="K55" i="18"/>
  <c r="J55" i="18"/>
  <c r="I55" i="18"/>
  <c r="H55" i="18"/>
  <c r="H22" i="4" s="1"/>
  <c r="G55" i="18"/>
  <c r="G22" i="4" s="1"/>
  <c r="F55" i="18"/>
  <c r="E55" i="18"/>
  <c r="D55" i="18"/>
  <c r="D22" i="4" s="1"/>
  <c r="AU54" i="18"/>
  <c r="AU12" i="4" s="1"/>
  <c r="AT54" i="18"/>
  <c r="AT12" i="4" s="1"/>
  <c r="AS54" i="18"/>
  <c r="AC54" i="18"/>
  <c r="AC12" i="4" s="1"/>
  <c r="AB54" i="18"/>
  <c r="AA54" i="18"/>
  <c r="Z54" i="18"/>
  <c r="Y54" i="18"/>
  <c r="X54" i="18"/>
  <c r="W54" i="18"/>
  <c r="V54" i="18"/>
  <c r="U54" i="18"/>
  <c r="T54" i="18"/>
  <c r="S54" i="18"/>
  <c r="R54" i="18"/>
  <c r="R12" i="4" s="1"/>
  <c r="Q54" i="18"/>
  <c r="Q12" i="4" s="1"/>
  <c r="P54" i="18"/>
  <c r="P12" i="4" s="1"/>
  <c r="O54" i="18"/>
  <c r="N54" i="18"/>
  <c r="N12" i="4" s="1"/>
  <c r="M54" i="18"/>
  <c r="M12" i="4" s="1"/>
  <c r="L54" i="18"/>
  <c r="K54" i="18"/>
  <c r="K12" i="4" s="1"/>
  <c r="J54" i="18"/>
  <c r="J12" i="4" s="1"/>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A22" i="4"/>
  <c r="X22" i="4"/>
  <c r="W22" i="4"/>
  <c r="V22" i="4"/>
  <c r="U22" i="4"/>
  <c r="T22" i="4"/>
  <c r="S22" i="4"/>
  <c r="R22" i="4"/>
  <c r="Q22" i="4"/>
  <c r="O22" i="4"/>
  <c r="N22" i="4"/>
  <c r="M22" i="4"/>
  <c r="L22" i="4"/>
  <c r="K22" i="4"/>
  <c r="J22" i="4"/>
  <c r="I22" i="4"/>
  <c r="F22" i="4"/>
  <c r="E22" i="4"/>
  <c r="AS12" i="4"/>
  <c r="AB12" i="4"/>
  <c r="AA12" i="4"/>
  <c r="Z12" i="4"/>
  <c r="Y12" i="4"/>
  <c r="X12" i="4"/>
  <c r="W12" i="4"/>
  <c r="V12" i="4"/>
  <c r="U12" i="4"/>
  <c r="T12" i="4"/>
  <c r="S12" i="4"/>
  <c r="O12" i="4"/>
  <c r="L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J7" i="10"/>
  <c r="K7" i="10" s="1"/>
  <c r="F15" i="10"/>
  <c r="G15" i="10"/>
  <c r="G32" i="10" s="1"/>
  <c r="J15" i="10"/>
  <c r="E7" i="10"/>
  <c r="L21" i="10"/>
  <c r="L26" i="10" s="1"/>
  <c r="L25" i="10" s="1"/>
  <c r="L28" i="10" s="1"/>
  <c r="L30" i="10"/>
  <c r="L31" i="10" s="1"/>
  <c r="L29" i="10" s="1"/>
  <c r="L33" i="10" s="1"/>
  <c r="L34" i="10" s="1"/>
  <c r="X39" i="10"/>
  <c r="P42" i="10"/>
  <c r="P47" i="10" s="1"/>
  <c r="P48" i="10" s="1"/>
  <c r="P51" i="10" s="1"/>
  <c r="P53" i="10" s="1"/>
  <c r="E11" i="16" s="1"/>
  <c r="X13" i="10"/>
  <c r="T13" i="10"/>
  <c r="G27" i="10" l="1"/>
  <c r="G23" i="10"/>
  <c r="G20" i="10"/>
  <c r="G24" i="10"/>
  <c r="G19" i="10"/>
  <c r="F7" i="10"/>
  <c r="F17" i="10" s="1"/>
  <c r="C17" i="10"/>
  <c r="E12" i="10"/>
  <c r="C12" i="10"/>
  <c r="D17" i="10"/>
  <c r="K15" i="10"/>
  <c r="I12" i="10" s="1"/>
  <c r="J38" i="10" l="1"/>
  <c r="K38" i="10" s="1"/>
  <c r="J17" i="10"/>
  <c r="D12" i="10"/>
  <c r="D45" i="10" s="1"/>
  <c r="G22" i="10"/>
  <c r="G30" i="10" s="1"/>
  <c r="G31" i="10" s="1"/>
  <c r="G29" i="10" s="1"/>
  <c r="G33" i="10" s="1"/>
  <c r="G34" i="10" s="1"/>
  <c r="I17" i="10"/>
  <c r="I45" i="10" s="1"/>
  <c r="C45" i="10"/>
  <c r="E17" i="10"/>
  <c r="K17" i="10"/>
  <c r="H17" i="10"/>
  <c r="H12" i="10"/>
  <c r="E38" i="10"/>
  <c r="J12" i="10"/>
  <c r="J45" i="10" s="1"/>
  <c r="G21" i="10" l="1"/>
  <c r="G26" i="10" s="1"/>
  <c r="G25" i="10" s="1"/>
  <c r="G28" i="10" s="1"/>
  <c r="H45" i="10"/>
  <c r="F12" i="10"/>
  <c r="K12" i="10"/>
  <c r="K45" i="10" s="1"/>
  <c r="K52" i="10"/>
  <c r="K39" i="10"/>
  <c r="K42" i="10" s="1"/>
  <c r="K47" i="10" s="1"/>
  <c r="K48" i="10" s="1"/>
  <c r="K51" i="10" s="1"/>
  <c r="K53" i="10" s="1"/>
  <c r="D11" i="16" s="1"/>
  <c r="E45" i="10"/>
  <c r="F38" i="10"/>
  <c r="F45" i="10" s="1"/>
  <c r="F39" i="10" l="1"/>
  <c r="F52" i="10"/>
  <c r="F42" i="10"/>
  <c r="F47" i="10" s="1"/>
  <c r="F48" i="10" s="1"/>
  <c r="F51" i="10" s="1"/>
  <c r="F53" i="10" s="1"/>
  <c r="C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<sst xmlns="http://schemas.openxmlformats.org/spreadsheetml/2006/main" count="568" uniqueCount="507">
  <si>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</si>
  <si>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</si>
  <si>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</si>
  <si>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</si>
  <si>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</si>
  <si>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</si>
  <si>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</si>
  <si>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</si>
  <si>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</si>
  <si>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</si>
  <si>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</si>
  <si>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</si>
  <si>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</si>
  <si>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</si>
  <si>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</si>
  <si>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</si>
  <si>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</si>
  <si>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</si>
  <si>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</si>
  <si>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</si>
  <si>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</si>
  <si>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</si>
  <si>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</si>
  <si>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</si>
  <si>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</si>
  <si>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</si>
  <si>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</si>
  <si>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</si>
  <si>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</si>
  <si>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</si>
  <si>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</si>
  <si>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</si>
  <si>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</si>
  <si>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</si>
  <si>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</si>
  <si>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</si>
  <si>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</si>
  <si>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</si>
  <si>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</si>
  <si>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</si>
  <si>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</si>
  <si>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</si>
  <si>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</si>
  <si>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</si>
  <si>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</si>
  <si>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</si>
  <si>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</si>
  <si>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</si>
  <si>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</si>
  <si>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</si>
  <si>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</si>
  <si>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</si>
  <si>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</si>
  <si>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</si>
  <si>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</si>
  <si>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</si>
  <si>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</si>
  <si>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</si>
  <si>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</si>
  <si>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</si>
  <si>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</si>
  <si>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</si>
  <si>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</si>
  <si>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</si>
  <si>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</si>
  <si>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</si>
  <si>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</si>
  <si>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</si>
  <si>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</si>
  <si>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</si>
  <si>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</si>
  <si>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</si>
  <si>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</si>
  <si>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</si>
  <si>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</si>
  <si>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</si>
  <si>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</si>
  <si>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</si>
  <si>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</si>
  <si>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</si>
  <si>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</si>
  <si>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</si>
  <si>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</si>
  <si>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</si>
  <si>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</si>
  <si>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</si>
  <si>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</si>
  <si>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</si>
  <si>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</si>
  <si>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</si>
  <si>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</si>
  <si>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</si>
  <si>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</si>
  <si>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</si>
  <si>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</si>
  <si>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</si>
  <si>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</si>
  <si>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</si>
  <si>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</si>
  <si>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</si>
  <si>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</si>
  <si>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</si>
  <si>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</si>
  <si>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</si>
  <si>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</si>
  <si>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</si>
  <si>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</si>
  <si>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</si>
  <si>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</si>
  <si>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</si>
  <si>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</si>
  <si>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</si>
  <si>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</si>
  <si>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</si>
  <si>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</si>
  <si>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</si>
  <si>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</si>
  <si>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</si>
  <si>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</si>
  <si>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</si>
  <si>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</si>
  <si>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</si>
  <si>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</si>
  <si>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</si>
  <si>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</si>
  <si>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</si>
  <si>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</si>
  <si>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</si>
  <si>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</si>
  <si>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</si>
  <si>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</si>
  <si>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</si>
  <si>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</si>
  <si>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</si>
  <si>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</si>
  <si>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</si>
  <si>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</si>
  <si>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</si>
  <si>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</si>
  <si>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</si>
  <si>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</si>
  <si>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</si>
  <si>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</si>
  <si>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</si>
  <si>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</si>
  <si>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</si>
  <si>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</si>
  <si>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</si>
  <si>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</si>
  <si>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</si>
  <si>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</si>
  <si>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</si>
  <si>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</si>
  <si>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</si>
  <si>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</si>
  <si>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</si>
  <si>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</si>
  <si>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</si>
  <si>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</si>
  <si>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</si>
  <si>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</si>
  <si>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</si>
  <si>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</si>
  <si>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</si>
  <si>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</si>
  <si>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</si>
  <si>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</si>
  <si>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</si>
  <si>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</si>
  <si>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</si>
  <si>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</si>
  <si>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</si>
  <si>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</si>
  <si>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</si>
  <si>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</si>
  <si>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</si>
  <si>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</si>
  <si>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</si>
  <si>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</si>
  <si>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</si>
  <si>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</si>
  <si>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</si>
  <si>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</si>
  <si>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</si>
  <si>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</si>
  <si>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</si>
  <si>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</si>
  <si>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</si>
  <si>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</si>
  <si>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</si>
  <si>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</si>
  <si>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</si>
  <si>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</si>
  <si>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</si>
  <si>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</si>
  <si>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</si>
  <si>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</si>
  <si>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</si>
  <si>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</si>
  <si>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</si>
  <si>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</si>
  <si>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</si>
  <si>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</si>
  <si>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</si>
  <si>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</si>
  <si>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</si>
  <si>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</si>
  <si>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</si>
  <si>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</si>
  <si>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</si>
  <si>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</si>
  <si>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</si>
  <si>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</si>
  <si>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</si>
  <si>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</si>
  <si>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</si>
  <si>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</si>
  <si>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</si>
  <si>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</si>
  <si>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</si>
  <si>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</si>
  <si>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</si>
  <si>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</si>
  <si>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</si>
  <si>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</si>
  <si>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</si>
  <si>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</si>
  <si>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</si>
  <si>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</si>
  <si>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</si>
  <si>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</si>
  <si>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</si>
  <si>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</si>
  <si>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</si>
  <si>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</si>
  <si>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</si>
  <si>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</si>
  <si>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</si>
  <si>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</si>
  <si>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</si>
  <si>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</si>
  <si>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</si>
  <si>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</si>
  <si>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</si>
  <si>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</si>
  <si>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</si>
  <si>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</si>
  <si>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</si>
  <si>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</si>
  <si>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</si>
  <si>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</si>
  <si>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</si>
  <si>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</si>
  <si>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</si>
  <si>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</si>
  <si>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</si>
  <si>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</si>
  <si>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</si>
  <si>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</si>
  <si>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</si>
  <si>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</si>
  <si>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</si>
  <si>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</si>
  <si>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</si>
  <si>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</si>
  <si>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</si>
  <si>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</si>
  <si>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</si>
  <si>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</si>
  <si>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</si>
  <si>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</si>
  <si>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</si>
  <si>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</si>
  <si>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</si>
  <si>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</si>
  <si>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</si>
  <si>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</si>
  <si>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</si>
  <si>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</si>
  <si>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</si>
  <si>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</si>
  <si>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</si>
  <si>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</si>
  <si>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</si>
  <si>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</si>
  <si>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</si>
  <si>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</si>
  <si>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</si>
  <si>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</si>
  <si>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</si>
  <si>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</si>
  <si>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</si>
  <si>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</si>
  <si>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</si>
  <si>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</si>
  <si>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</si>
  <si>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</si>
  <si>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</si>
  <si>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</si>
  <si>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</si>
  <si>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</si>
  <si>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</si>
  <si>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</si>
  <si>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</si>
  <si>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</si>
  <si>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</si>
  <si>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</si>
  <si>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</si>
  <si>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</si>
  <si>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</si>
  <si>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</si>
  <si>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</si>
  <si>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</si>
  <si>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</si>
  <si>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</si>
  <si>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</si>
  <si>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</si>
  <si>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</si>
  <si>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</si>
  <si>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</si>
  <si>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</si>
  <si>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</si>
  <si>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</si>
  <si>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</si>
  <si>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</si>
  <si>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</si>
  <si>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</si>
  <si>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</si>
  <si>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</si>
  <si>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</si>
  <si>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</si>
  <si>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</si>
  <si>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</si>
  <si>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</si>
  <si>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</si>
  <si>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</si>
  <si>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</si>
  <si>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</si>
  <si>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</si>
  <si>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</si>
  <si>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</si>
  <si>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</si>
  <si>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</si>
  <si>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</si>
  <si>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</si>
  <si>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</si>
  <si>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</si>
  <si>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</si>
  <si>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</si>
  <si>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</si>
  <si>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</si>
  <si>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</si>
  <si>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</si>
  <si>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</si>
  <si>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</si>
  <si>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</si>
  <si>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</si>
  <si>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</si>
  <si>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</si>
  <si>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</si>
  <si>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</si>
  <si>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</si>
  <si>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</si>
  <si>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</si>
  <si>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</si>
  <si>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</si>
  <si>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</si>
  <si>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</si>
  <si>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</si>
  <si>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</si>
  <si>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</si>
  <si>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</si>
  <si>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</si>
  <si>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</si>
  <si>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</si>
  <si>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</si>
  <si>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</si>
  <si>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</si>
  <si>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</si>
  <si>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</si>
  <si>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</si>
  <si>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</si>
  <si>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</si>
  <si>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</si>
  <si>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</si>
  <si>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</si>
  <si>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</si>
  <si>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</si>
  <si>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</si>
  <si>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</si>
  <si>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</si>
  <si>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</si>
  <si>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</si>
  <si>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</si>
  <si>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</si>
  <si>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</si>
  <si>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</si>
  <si>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</si>
  <si>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</si>
  <si>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</si>
  <si>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</si>
  <si>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</si>
  <si>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</si>
  <si>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</si>
  <si>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</si>
  <si>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</si>
  <si>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</si>
  <si>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</si>
  <si>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</si>
  <si>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</si>
  <si>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</si>
  <si>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</si>
  <si>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</si>
  <si>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</si>
  <si>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</si>
  <si>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</si>
  <si>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</si>
  <si>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</si>
  <si>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</si>
  <si>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</si>
  <si>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</si>
  <si>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</si>
  <si>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</si>
  <si>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</si>
  <si>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</si>
  <si>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</si>
  <si>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</si>
  <si>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</si>
  <si>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</si>
  <si>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</si>
  <si>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</si>
  <si>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</si>
  <si>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</si>
  <si>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</si>
  <si>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</si>
  <si>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</si>
  <si>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</si>
  <si>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</si>
  <si>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</si>
  <si>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</si>
  <si>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</si>
  <si>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</si>
  <si>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</si>
  <si>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</si>
  <si>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</si>
  <si>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</si>
  <si>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</si>
  <si>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</si>
  <si>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</si>
  <si>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</si>
  <si>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</si>
  <si>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</si>
  <si>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</si>
  <si>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</si>
  <si>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</si>
  <si>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</si>
  <si>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</si>
  <si>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</si>
  <si>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</si>
  <si>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</si>
  <si>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</si>
  <si>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</si>
  <si>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</si>
  <si>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</si>
  <si>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</si>
  <si>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</si>
  <si>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</si>
  <si>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</si>
  <si>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</si>
  <si>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</si>
  <si>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</si>
  <si>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</si>
  <si>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</si>
  <si>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</si>
  <si>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</si>
  <si>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</si>
  <si>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</si>
  <si>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</si>
  <si>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</si>
  <si>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</si>
  <si>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</si>
  <si>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</si>
  <si>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</si>
  <si>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</si>
  <si>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</si>
  <si>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</si>
  <si>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</si>
  <si>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</si>
  <si>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</si>
  <si>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</si>
  <si>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</si>
  <si>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</si>
  <si>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</si>
  <si>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</si>
  <si>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</si>
  <si>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</si>
  <si>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</si>
  <si>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</si>
  <si>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</si>
  <si>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</si>
  <si>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</si>
  <si>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</si>
  <si>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</si>
  <si>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</si>
  <si>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</si>
  <si>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46958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</si>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</sst>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187</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39003661</v>
      </c>
      <c r="E5" s="213">
        <f>SUM('Pt 2 Premium and Claims'!E$5,'Pt 2 Premium and Claims'!E$6,-'Pt 2 Premium and Claims'!E$7,-'Pt 2 Premium and Claims'!E$13,'Pt 2 Premium and Claims'!E$14:'Pt 2 Premium and Claims'!E$17)</f>
        <v>43282001.130000003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14373523</v>
      </c>
      <c r="K5" s="213">
        <f>SUM('Pt 2 Premium and Claims'!K$5,'Pt 2 Premium and Claims'!K$6,-'Pt 2 Premium and Claims'!K$7,-'Pt 2 Premium and Claims'!K$13,'Pt 2 Premium and Claims'!K$14,'Pt 2 Premium and Claims'!K$16:'Pt 2 Premium and Claims'!K$17)</f>
        <v>15728246.625558099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4587062</v>
      </c>
      <c r="Q5" s="213">
        <f>SUM('Pt 2 Premium and Claims'!Q$5,'Pt 2 Premium and Claims'!Q$6,-'Pt 2 Premium and Claims'!Q$7,-'Pt 2 Premium and Claims'!Q$13,'Pt 2 Premium and Claims'!Q$14)</f>
        <v>4051971.5244434001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2923587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-1148</v>
      </c>
      <c r="E7" s="217">
        <v>-1147.6300000000001</v>
      </c>
      <c r="F7" s="217"/>
      <c r="G7" s="217"/>
      <c r="H7" s="217"/>
      <c r="I7" s="216"/>
      <c r="J7" s="216">
        <v>-328</v>
      </c>
      <c r="K7" s="217">
        <v>-327.93</v>
      </c>
      <c r="L7" s="217"/>
      <c r="M7" s="217"/>
      <c r="N7" s="217"/>
      <c r="O7" s="216"/>
      <c r="P7" s="216">
        <v>-172</v>
      </c>
      <c r="Q7" s="217">
        <v>-172.45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-264944</v>
      </c>
      <c r="E8" s="268"/>
      <c r="F8" s="269"/>
      <c r="G8" s="269"/>
      <c r="H8" s="269"/>
      <c r="I8" s="272"/>
      <c r="J8" s="216">
        <v>-41246</v>
      </c>
      <c r="K8" s="268"/>
      <c r="L8" s="269"/>
      <c r="M8" s="269"/>
      <c r="N8" s="269"/>
      <c r="O8" s="272"/>
      <c r="P8" s="216">
        <v>-2765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5114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49266452</v>
      </c>
      <c r="E12" s="213">
        <f>'Pt 2 Premium and Claims'!E$54</f>
        <v>47593149.0255</v>
      </c>
      <c r="F12" s="213">
        <f>'Pt 2 Premium and Claims'!F$54</f>
        <v>0</v>
      </c>
      <c r="G12" s="213">
        <f>'Pt 2 Premium and Claims'!G$54</f>
        <v>0</v>
      </c>
      <c r="H12" s="213">
        <f>'Pt 2 Premium and Claims'!H$54</f>
        <v>0</v>
      </c>
      <c r="I12" s="212">
        <f>'Pt 2 Premium and Claims'!I$54</f>
        <v>0</v>
      </c>
      <c r="J12" s="212">
        <f>'Pt 2 Premium and Claims'!J$54</f>
        <v>13089695</v>
      </c>
      <c r="K12" s="213">
        <f>'Pt 2 Premium and Claims'!K$54</f>
        <v>12561910.369626852</v>
      </c>
      <c r="L12" s="213">
        <f>'Pt 2 Premium and Claims'!L$54</f>
        <v>0</v>
      </c>
      <c r="M12" s="213">
        <f>'Pt 2 Premium and Claims'!M$54</f>
        <v>0</v>
      </c>
      <c r="N12" s="213">
        <f>'Pt 2 Premium and Claims'!N$54</f>
        <v>0</v>
      </c>
      <c r="O12" s="212">
        <f>'Pt 2 Premium and Claims'!O$54</f>
        <v>0</v>
      </c>
      <c r="P12" s="212">
        <f>'Pt 2 Premium and Claims'!P$54</f>
        <v>3485131</v>
      </c>
      <c r="Q12" s="213">
        <f>'Pt 2 Premium and Claims'!Q$54</f>
        <v>3589306.2151033487</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1783662</v>
      </c>
      <c r="AU12" s="214">
        <f>'Pt 2 Premium and Claims'!AU$54</f>
        <v>0</v>
      </c>
      <c r="AV12" s="291"/>
      <c r="AW12" s="296"/>
    </row>
    <row r="13" spans="1:49" ht="25.5" x14ac:dyDescent="0.2">
      <c r="B13" s="239" t="s">
        <v>230</v>
      </c>
      <c r="C13" s="203" t="s">
        <v>37</v>
      </c>
      <c r="D13" s="216">
        <v>5018741</v>
      </c>
      <c r="E13" s="217">
        <v>5017649.1300000008</v>
      </c>
      <c r="F13" s="217"/>
      <c r="G13" s="268"/>
      <c r="H13" s="269"/>
      <c r="I13" s="216"/>
      <c r="J13" s="216">
        <v>1612664</v>
      </c>
      <c r="K13" s="217">
        <v>1639000.2843567303</v>
      </c>
      <c r="L13" s="217"/>
      <c r="M13" s="268"/>
      <c r="N13" s="269"/>
      <c r="O13" s="216"/>
      <c r="P13" s="216">
        <v>501599</v>
      </c>
      <c r="Q13" s="217">
        <v>516940.58679368271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21489</v>
      </c>
      <c r="AU13" s="220">
        <v>0</v>
      </c>
      <c r="AV13" s="290"/>
      <c r="AW13" s="297"/>
    </row>
    <row r="14" spans="1:49" ht="25.5" x14ac:dyDescent="0.2">
      <c r="B14" s="239" t="s">
        <v>231</v>
      </c>
      <c r="C14" s="203" t="s">
        <v>6</v>
      </c>
      <c r="D14" s="216">
        <v>683038</v>
      </c>
      <c r="E14" s="217">
        <v>669208.06999999995</v>
      </c>
      <c r="F14" s="217"/>
      <c r="G14" s="267"/>
      <c r="H14" s="270"/>
      <c r="I14" s="216"/>
      <c r="J14" s="216">
        <v>234798</v>
      </c>
      <c r="K14" s="217">
        <v>244069.7287605789</v>
      </c>
      <c r="L14" s="217"/>
      <c r="M14" s="267"/>
      <c r="N14" s="270"/>
      <c r="O14" s="216"/>
      <c r="P14" s="216">
        <v>112937</v>
      </c>
      <c r="Q14" s="217">
        <v>107509.49999414492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5975</v>
      </c>
      <c r="E15" s="217">
        <v>5975.34</v>
      </c>
      <c r="F15" s="217"/>
      <c r="G15" s="267"/>
      <c r="H15" s="273"/>
      <c r="I15" s="216"/>
      <c r="J15" s="216">
        <v>2220</v>
      </c>
      <c r="K15" s="217">
        <v>2336.4911682324287</v>
      </c>
      <c r="L15" s="217"/>
      <c r="M15" s="267"/>
      <c r="N15" s="273"/>
      <c r="O15" s="216"/>
      <c r="P15" s="216">
        <v>797</v>
      </c>
      <c r="Q15" s="217">
        <v>680.70883176757138</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411</v>
      </c>
      <c r="AU15" s="220">
        <v>0</v>
      </c>
      <c r="AV15" s="290"/>
      <c r="AW15" s="297"/>
    </row>
    <row r="16" spans="1:49" ht="25.5" x14ac:dyDescent="0.2">
      <c r="B16" s="239" t="s">
        <v>233</v>
      </c>
      <c r="C16" s="203" t="s">
        <v>61</v>
      </c>
      <c r="D16" s="216">
        <v>-5506733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-15871</v>
      </c>
      <c r="AU16" s="220">
        <v>0</v>
      </c>
      <c r="AV16" s="290"/>
      <c r="AW16" s="297"/>
    </row>
    <row r="17" spans="1:49" x14ac:dyDescent="0.2">
      <c r="B17" s="239" t="s">
        <v>234</v>
      </c>
      <c r="C17" s="203" t="s">
        <v>62</v>
      </c>
      <c r="D17" s="216">
        <v>16396603</v>
      </c>
      <c r="E17" s="267"/>
      <c r="F17" s="270"/>
      <c r="G17" s="270"/>
      <c r="H17" s="270"/>
      <c r="I17" s="271"/>
      <c r="J17" s="216">
        <v>-48</v>
      </c>
      <c r="K17" s="267"/>
      <c r="L17" s="270"/>
      <c r="M17" s="270"/>
      <c r="N17" s="270"/>
      <c r="O17" s="271"/>
      <c r="P17" s="216">
        <v>-26109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-9</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48</v>
      </c>
      <c r="K20" s="267"/>
      <c r="L20" s="270"/>
      <c r="M20" s="270"/>
      <c r="N20" s="270"/>
      <c r="O20" s="271"/>
      <c r="P20" s="216">
        <v>521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79879</v>
      </c>
      <c r="E22" s="222">
        <f>'Pt 2 Premium and Claims'!E$55</f>
        <v>79879.11</v>
      </c>
      <c r="F22" s="222">
        <f>'Pt 2 Premium and Claims'!F$55</f>
        <v>0</v>
      </c>
      <c r="G22" s="222">
        <f>'Pt 2 Premium and Claims'!G$55</f>
        <v>0</v>
      </c>
      <c r="H22" s="222">
        <f>'Pt 2 Premium and Claims'!H$55</f>
        <v>0</v>
      </c>
      <c r="I22" s="221">
        <f>'Pt 2 Premium and Claims'!I$55</f>
        <v>0</v>
      </c>
      <c r="J22" s="221">
        <f>'Pt 2 Premium and Claims'!J$55</f>
        <v>27103</v>
      </c>
      <c r="K22" s="222">
        <f>'Pt 2 Premium and Claims'!K$55</f>
        <v>27103.21</v>
      </c>
      <c r="L22" s="222">
        <f>'Pt 2 Premium and Claims'!L$55</f>
        <v>0</v>
      </c>
      <c r="M22" s="222">
        <f>'Pt 2 Premium and Claims'!M$55</f>
        <v>0</v>
      </c>
      <c r="N22" s="222">
        <f>'Pt 2 Premium and Claims'!N$55</f>
        <v>0</v>
      </c>
      <c r="O22" s="221">
        <f>'Pt 2 Premium and Claims'!O$55</f>
        <v>0</v>
      </c>
      <c r="P22" s="221">
        <f>'Pt 2 Premium and Claims'!P$55</f>
        <v>2455</v>
      </c>
      <c r="Q22" s="222">
        <f>'Pt 2 Premium and Claims'!Q$55</f>
        <v>2455.1999999999998</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-6510938.3899999997</v>
      </c>
      <c r="E25" s="217">
        <v>-6510938.3899999997</v>
      </c>
      <c r="F25" s="217"/>
      <c r="G25" s="217"/>
      <c r="H25" s="217"/>
      <c r="I25" s="216"/>
      <c r="J25" s="216">
        <v>-311182.84000000003</v>
      </c>
      <c r="K25" s="217">
        <v>-290326.08131978347</v>
      </c>
      <c r="L25" s="217"/>
      <c r="M25" s="217"/>
      <c r="N25" s="217"/>
      <c r="O25" s="216"/>
      <c r="P25" s="216">
        <v>-97544.33</v>
      </c>
      <c r="Q25" s="217">
        <v>-118404.22140682416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35512.839999999997</v>
      </c>
      <c r="AU25" s="220"/>
      <c r="AV25" s="220"/>
      <c r="AW25" s="297"/>
    </row>
    <row r="26" spans="1:49" s="5" customFormat="1" x14ac:dyDescent="0.2">
      <c r="A26" s="35"/>
      <c r="B26" s="242" t="s">
        <v>242</v>
      </c>
      <c r="C26" s="203"/>
      <c r="D26" s="216">
        <v>82312.83</v>
      </c>
      <c r="E26" s="217">
        <v>82312.83</v>
      </c>
      <c r="F26" s="217"/>
      <c r="G26" s="217"/>
      <c r="H26" s="217"/>
      <c r="I26" s="216"/>
      <c r="J26" s="216">
        <v>13741.25</v>
      </c>
      <c r="K26" s="217">
        <v>14699.65831158664</v>
      </c>
      <c r="L26" s="217"/>
      <c r="M26" s="217"/>
      <c r="N26" s="217"/>
      <c r="O26" s="216"/>
      <c r="P26" s="216">
        <v>5671.39</v>
      </c>
      <c r="Q26" s="217">
        <v>4712.9816884133616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624415.81000000006</v>
      </c>
      <c r="E27" s="217">
        <v>624415.81000000006</v>
      </c>
      <c r="F27" s="217"/>
      <c r="G27" s="217"/>
      <c r="H27" s="217"/>
      <c r="I27" s="216"/>
      <c r="J27" s="216">
        <v>231217.5</v>
      </c>
      <c r="K27" s="217">
        <v>243360.22436064717</v>
      </c>
      <c r="L27" s="217"/>
      <c r="M27" s="217"/>
      <c r="N27" s="217"/>
      <c r="O27" s="216"/>
      <c r="P27" s="216">
        <v>79509.75</v>
      </c>
      <c r="Q27" s="217">
        <v>67367.025639352825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13555.62</v>
      </c>
      <c r="AU27" s="220"/>
      <c r="AV27" s="293"/>
      <c r="AW27" s="297"/>
    </row>
    <row r="28" spans="1:49" s="5" customFormat="1" x14ac:dyDescent="0.2">
      <c r="A28" s="35"/>
      <c r="B28" s="242" t="s">
        <v>244</v>
      </c>
      <c r="C28" s="203"/>
      <c r="D28" s="216">
        <v>254908.94</v>
      </c>
      <c r="E28" s="217">
        <v>254908.94</v>
      </c>
      <c r="F28" s="217"/>
      <c r="G28" s="217"/>
      <c r="H28" s="217"/>
      <c r="I28" s="216"/>
      <c r="J28" s="216">
        <v>38502.46</v>
      </c>
      <c r="K28" s="217">
        <v>40421.499178844817</v>
      </c>
      <c r="L28" s="217"/>
      <c r="M28" s="217"/>
      <c r="N28" s="217"/>
      <c r="O28" s="216"/>
      <c r="P28" s="216">
        <v>12000</v>
      </c>
      <c r="Q28" s="217">
        <v>10080.960821155184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10435.61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-478970.28</v>
      </c>
      <c r="E30" s="217">
        <v>-478970.28</v>
      </c>
      <c r="F30" s="217"/>
      <c r="G30" s="217"/>
      <c r="H30" s="217"/>
      <c r="I30" s="216"/>
      <c r="J30" s="216">
        <v>-19655.25</v>
      </c>
      <c r="K30" s="217">
        <v>-17786.443225723488</v>
      </c>
      <c r="L30" s="217"/>
      <c r="M30" s="217"/>
      <c r="N30" s="217"/>
      <c r="O30" s="216"/>
      <c r="P30" s="216">
        <v>-6272.55</v>
      </c>
      <c r="Q30" s="217">
        <v>-8141.6019174826288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4084.37</v>
      </c>
      <c r="AU30" s="220"/>
      <c r="AV30" s="220"/>
      <c r="AW30" s="297"/>
    </row>
    <row r="31" spans="1:49" x14ac:dyDescent="0.2">
      <c r="B31" s="242" t="s">
        <v>247</v>
      </c>
      <c r="C31" s="203"/>
      <c r="D31" s="216">
        <v>4259.03</v>
      </c>
      <c r="E31" s="217">
        <v>4259.03</v>
      </c>
      <c r="F31" s="217"/>
      <c r="G31" s="217"/>
      <c r="H31" s="217"/>
      <c r="I31" s="216"/>
      <c r="J31" s="216">
        <v>1851.1</v>
      </c>
      <c r="K31" s="217">
        <v>1936.1708507306889</v>
      </c>
      <c r="L31" s="217"/>
      <c r="M31" s="217"/>
      <c r="N31" s="217"/>
      <c r="O31" s="216"/>
      <c r="P31" s="216">
        <v>521.16</v>
      </c>
      <c r="Q31" s="217">
        <v>436.08914926931106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288.23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1080282.06</v>
      </c>
      <c r="E34" s="217">
        <v>1163420.32</v>
      </c>
      <c r="F34" s="217"/>
      <c r="G34" s="217"/>
      <c r="H34" s="217"/>
      <c r="I34" s="216"/>
      <c r="J34" s="216">
        <v>217650.12</v>
      </c>
      <c r="K34" s="217">
        <v>228457.57521920669</v>
      </c>
      <c r="L34" s="217"/>
      <c r="M34" s="217"/>
      <c r="N34" s="217"/>
      <c r="O34" s="216"/>
      <c r="P34" s="216">
        <v>65980.92</v>
      </c>
      <c r="Q34" s="217">
        <v>55173.464780793322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85721.62</v>
      </c>
      <c r="E35" s="217">
        <v>85721.62</v>
      </c>
      <c r="F35" s="217"/>
      <c r="G35" s="217"/>
      <c r="H35" s="217"/>
      <c r="I35" s="216"/>
      <c r="J35" s="216">
        <v>16075.66</v>
      </c>
      <c r="K35" s="217">
        <v>16773.320821155183</v>
      </c>
      <c r="L35" s="217"/>
      <c r="M35" s="217"/>
      <c r="N35" s="217"/>
      <c r="O35" s="216"/>
      <c r="P35" s="216">
        <v>4505.6099999999997</v>
      </c>
      <c r="Q35" s="217">
        <v>3807.9491788448154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18700.36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208340</v>
      </c>
      <c r="E37" s="225">
        <v>208339.93</v>
      </c>
      <c r="F37" s="225"/>
      <c r="G37" s="225"/>
      <c r="H37" s="225"/>
      <c r="I37" s="224"/>
      <c r="J37" s="224">
        <v>39280</v>
      </c>
      <c r="K37" s="225">
        <v>41721.486316109949</v>
      </c>
      <c r="L37" s="225"/>
      <c r="M37" s="225"/>
      <c r="N37" s="225"/>
      <c r="O37" s="224"/>
      <c r="P37" s="224">
        <v>29252</v>
      </c>
      <c r="Q37" s="225">
        <v>26810.603683890047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57</v>
      </c>
      <c r="AU37" s="226">
        <v>0</v>
      </c>
      <c r="AV37" s="226">
        <v>16693</v>
      </c>
      <c r="AW37" s="296"/>
    </row>
    <row r="38" spans="1:49" x14ac:dyDescent="0.2">
      <c r="B38" s="239" t="s">
        <v>254</v>
      </c>
      <c r="C38" s="203" t="s">
        <v>16</v>
      </c>
      <c r="D38" s="216">
        <v>33492</v>
      </c>
      <c r="E38" s="217">
        <v>33491.58</v>
      </c>
      <c r="F38" s="217"/>
      <c r="G38" s="217"/>
      <c r="H38" s="217"/>
      <c r="I38" s="216"/>
      <c r="J38" s="216">
        <v>1476</v>
      </c>
      <c r="K38" s="217">
        <v>2167.2920955114823</v>
      </c>
      <c r="L38" s="217"/>
      <c r="M38" s="217"/>
      <c r="N38" s="217"/>
      <c r="O38" s="216"/>
      <c r="P38" s="216">
        <v>17194</v>
      </c>
      <c r="Q38" s="217">
        <v>16502.207904488518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15470</v>
      </c>
      <c r="AW38" s="297"/>
    </row>
    <row r="39" spans="1:49" x14ac:dyDescent="0.2">
      <c r="B39" s="242" t="s">
        <v>255</v>
      </c>
      <c r="C39" s="203" t="s">
        <v>17</v>
      </c>
      <c r="D39" s="216">
        <v>115666</v>
      </c>
      <c r="E39" s="217">
        <v>115665.5</v>
      </c>
      <c r="F39" s="217"/>
      <c r="G39" s="217"/>
      <c r="H39" s="217"/>
      <c r="I39" s="216"/>
      <c r="J39" s="216">
        <v>25949</v>
      </c>
      <c r="K39" s="217">
        <v>27307.613954418928</v>
      </c>
      <c r="L39" s="217"/>
      <c r="M39" s="217"/>
      <c r="N39" s="217"/>
      <c r="O39" s="216"/>
      <c r="P39" s="216">
        <v>10316</v>
      </c>
      <c r="Q39" s="217">
        <v>8957.0660455810721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604</v>
      </c>
      <c r="AU39" s="220">
        <v>0</v>
      </c>
      <c r="AV39" s="220">
        <v>2285</v>
      </c>
      <c r="AW39" s="297"/>
    </row>
    <row r="40" spans="1:49" x14ac:dyDescent="0.2">
      <c r="B40" s="242" t="s">
        <v>256</v>
      </c>
      <c r="C40" s="203" t="s">
        <v>38</v>
      </c>
      <c r="D40" s="216">
        <v>73166</v>
      </c>
      <c r="E40" s="217">
        <v>73166.28</v>
      </c>
      <c r="F40" s="217"/>
      <c r="G40" s="217"/>
      <c r="H40" s="217"/>
      <c r="I40" s="216"/>
      <c r="J40" s="216">
        <v>195928</v>
      </c>
      <c r="K40" s="217">
        <v>205730.26683716074</v>
      </c>
      <c r="L40" s="217"/>
      <c r="M40" s="217"/>
      <c r="N40" s="217"/>
      <c r="O40" s="216"/>
      <c r="P40" s="216">
        <v>70210</v>
      </c>
      <c r="Q40" s="217">
        <v>60408.323162839246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16779</v>
      </c>
      <c r="AU40" s="220">
        <v>0</v>
      </c>
      <c r="AV40" s="220">
        <v>13085</v>
      </c>
      <c r="AW40" s="297"/>
    </row>
    <row r="41" spans="1:49" s="5" customFormat="1" ht="25.5" x14ac:dyDescent="0.2">
      <c r="A41" s="35"/>
      <c r="B41" s="242" t="s">
        <v>257</v>
      </c>
      <c r="C41" s="203" t="s">
        <v>129</v>
      </c>
      <c r="D41" s="216">
        <v>185736</v>
      </c>
      <c r="E41" s="217">
        <v>185735.95</v>
      </c>
      <c r="F41" s="217"/>
      <c r="G41" s="217"/>
      <c r="H41" s="217"/>
      <c r="I41" s="216"/>
      <c r="J41" s="216">
        <v>30812</v>
      </c>
      <c r="K41" s="217">
        <v>32320.361225643701</v>
      </c>
      <c r="L41" s="217"/>
      <c r="M41" s="217"/>
      <c r="N41" s="217"/>
      <c r="O41" s="216"/>
      <c r="P41" s="216">
        <v>9214</v>
      </c>
      <c r="Q41" s="217">
        <v>7705.8487743562982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6637</v>
      </c>
      <c r="AU41" s="220">
        <v>0</v>
      </c>
      <c r="AV41" s="220">
        <v>14</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918437</v>
      </c>
      <c r="E44" s="225">
        <v>918436.69</v>
      </c>
      <c r="F44" s="225"/>
      <c r="G44" s="225"/>
      <c r="H44" s="225"/>
      <c r="I44" s="224"/>
      <c r="J44" s="224">
        <v>192198</v>
      </c>
      <c r="K44" s="225">
        <v>201779.24032098122</v>
      </c>
      <c r="L44" s="225"/>
      <c r="M44" s="225"/>
      <c r="N44" s="225"/>
      <c r="O44" s="224"/>
      <c r="P44" s="224">
        <v>61988</v>
      </c>
      <c r="Q44" s="225">
        <v>52406.789679018788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11001</v>
      </c>
      <c r="AU44" s="226">
        <v>0</v>
      </c>
      <c r="AV44" s="226">
        <v>3014</v>
      </c>
      <c r="AW44" s="296"/>
    </row>
    <row r="45" spans="1:49" x14ac:dyDescent="0.2">
      <c r="B45" s="245" t="s">
        <v>261</v>
      </c>
      <c r="C45" s="203" t="s">
        <v>19</v>
      </c>
      <c r="D45" s="216">
        <v>827537</v>
      </c>
      <c r="E45" s="217">
        <v>827537.39</v>
      </c>
      <c r="F45" s="217"/>
      <c r="G45" s="217"/>
      <c r="H45" s="217"/>
      <c r="I45" s="216"/>
      <c r="J45" s="216">
        <v>118627</v>
      </c>
      <c r="K45" s="217">
        <v>124320.55306889353</v>
      </c>
      <c r="L45" s="217"/>
      <c r="M45" s="217"/>
      <c r="N45" s="217"/>
      <c r="O45" s="216"/>
      <c r="P45" s="216">
        <v>34753</v>
      </c>
      <c r="Q45" s="217">
        <v>29058.936931106473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31537</v>
      </c>
      <c r="AU45" s="220">
        <v>0</v>
      </c>
      <c r="AV45" s="220">
        <v>0</v>
      </c>
      <c r="AW45" s="297"/>
    </row>
    <row r="46" spans="1:49" x14ac:dyDescent="0.2">
      <c r="B46" s="245" t="s">
        <v>262</v>
      </c>
      <c r="C46" s="203" t="s">
        <v>20</v>
      </c>
      <c r="D46" s="216">
        <v>159868</v>
      </c>
      <c r="E46" s="217">
        <v>159867.70000000001</v>
      </c>
      <c r="F46" s="217"/>
      <c r="G46" s="217"/>
      <c r="H46" s="217"/>
      <c r="I46" s="216"/>
      <c r="J46" s="216">
        <v>103740</v>
      </c>
      <c r="K46" s="217">
        <v>108819.73938152401</v>
      </c>
      <c r="L46" s="217"/>
      <c r="M46" s="217"/>
      <c r="N46" s="217"/>
      <c r="O46" s="216"/>
      <c r="P46" s="216">
        <v>31017</v>
      </c>
      <c r="Q46" s="217">
        <v>25937.310618475993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15434</v>
      </c>
      <c r="AU46" s="220">
        <v>0</v>
      </c>
      <c r="AV46" s="220">
        <v>0</v>
      </c>
      <c r="AW46" s="297"/>
    </row>
    <row r="47" spans="1:49" x14ac:dyDescent="0.2">
      <c r="B47" s="245" t="s">
        <v>263</v>
      </c>
      <c r="C47" s="203" t="s">
        <v>21</v>
      </c>
      <c r="D47" s="216">
        <v>1801349</v>
      </c>
      <c r="E47" s="217">
        <v>1801349.03</v>
      </c>
      <c r="F47" s="217"/>
      <c r="G47" s="217"/>
      <c r="H47" s="217"/>
      <c r="I47" s="216"/>
      <c r="J47" s="216">
        <v>850729</v>
      </c>
      <c r="K47" s="217">
        <v>893023.1286978079</v>
      </c>
      <c r="L47" s="217"/>
      <c r="M47" s="217"/>
      <c r="N47" s="217"/>
      <c r="O47" s="216"/>
      <c r="P47" s="216">
        <v>257254</v>
      </c>
      <c r="Q47" s="217">
        <v>214959.96130219207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944083</v>
      </c>
      <c r="AU47" s="220">
        <v>0</v>
      </c>
      <c r="AV47" s="220">
        <v>129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-185258.69</v>
      </c>
      <c r="E49" s="217">
        <v>-185258.69</v>
      </c>
      <c r="F49" s="217"/>
      <c r="G49" s="217"/>
      <c r="H49" s="217"/>
      <c r="I49" s="216"/>
      <c r="J49" s="216">
        <v>-8830.2800000000007</v>
      </c>
      <c r="K49" s="217">
        <v>-8821.2682219902581</v>
      </c>
      <c r="L49" s="217"/>
      <c r="M49" s="217"/>
      <c r="N49" s="217"/>
      <c r="O49" s="216"/>
      <c r="P49" s="216">
        <v>-2908.53</v>
      </c>
      <c r="Q49" s="217">
        <v>-2917.5417780097423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1185.54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8077619</v>
      </c>
      <c r="E51" s="217">
        <v>8077619.2800000003</v>
      </c>
      <c r="F51" s="217"/>
      <c r="G51" s="217"/>
      <c r="H51" s="217"/>
      <c r="I51" s="216"/>
      <c r="J51" s="216">
        <v>1177056</v>
      </c>
      <c r="K51" s="217">
        <v>1234128.7353270703</v>
      </c>
      <c r="L51" s="217"/>
      <c r="M51" s="217"/>
      <c r="N51" s="217"/>
      <c r="O51" s="216"/>
      <c r="P51" s="216">
        <v>323877</v>
      </c>
      <c r="Q51" s="217">
        <v>266803.99467292969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-262269</v>
      </c>
      <c r="AU51" s="220">
        <v>0</v>
      </c>
      <c r="AV51" s="220">
        <v>10917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7527</v>
      </c>
      <c r="E56" s="229">
        <v>7527</v>
      </c>
      <c r="F56" s="229"/>
      <c r="G56" s="229"/>
      <c r="H56" s="229"/>
      <c r="I56" s="228"/>
      <c r="J56" s="228">
        <v>1790</v>
      </c>
      <c r="K56" s="229">
        <v>1790</v>
      </c>
      <c r="L56" s="229"/>
      <c r="M56" s="229"/>
      <c r="N56" s="229"/>
      <c r="O56" s="228"/>
      <c r="P56" s="228">
        <v>600</v>
      </c>
      <c r="Q56" s="229">
        <v>600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4600</v>
      </c>
      <c r="AU56" s="230">
        <v>0</v>
      </c>
      <c r="AV56" s="230">
        <v>0</v>
      </c>
      <c r="AW56" s="288"/>
    </row>
    <row r="57" spans="2:49" x14ac:dyDescent="0.2">
      <c r="B57" s="245" t="s">
        <v>272</v>
      </c>
      <c r="C57" s="203" t="s">
        <v>25</v>
      </c>
      <c r="D57" s="231">
        <v>23458</v>
      </c>
      <c r="E57" s="232">
        <v>23458</v>
      </c>
      <c r="F57" s="232"/>
      <c r="G57" s="232"/>
      <c r="H57" s="232"/>
      <c r="I57" s="231"/>
      <c r="J57" s="231">
        <v>4181</v>
      </c>
      <c r="K57" s="232">
        <v>4393</v>
      </c>
      <c r="L57" s="232"/>
      <c r="M57" s="232"/>
      <c r="N57" s="232"/>
      <c r="O57" s="231"/>
      <c r="P57" s="231">
        <v>1265</v>
      </c>
      <c r="Q57" s="232">
        <v>1053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7334</v>
      </c>
      <c r="AU57" s="233">
        <v>0</v>
      </c>
      <c r="AV57" s="233">
        <v>0</v>
      </c>
      <c r="AW57" s="289"/>
    </row>
    <row r="58" spans="2:49" x14ac:dyDescent="0.2">
      <c r="B58" s="245" t="s">
        <v>273</v>
      </c>
      <c r="C58" s="203" t="s">
        <v>26</v>
      </c>
      <c r="D58" s="309"/>
      <c r="E58" s="310"/>
      <c r="F58" s="310"/>
      <c r="G58" s="310"/>
      <c r="H58" s="310"/>
      <c r="I58" s="309"/>
      <c r="J58" s="231">
        <v>173</v>
      </c>
      <c r="K58" s="232">
        <v>173</v>
      </c>
      <c r="L58" s="232"/>
      <c r="M58" s="232"/>
      <c r="N58" s="232"/>
      <c r="O58" s="231"/>
      <c r="P58" s="231">
        <v>14</v>
      </c>
      <c r="Q58" s="232">
        <v>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88</v>
      </c>
      <c r="AU58" s="233">
        <v>0</v>
      </c>
      <c r="AV58" s="233">
        <v>0</v>
      </c>
      <c r="AW58" s="289"/>
    </row>
    <row r="59" spans="2:49" x14ac:dyDescent="0.2">
      <c r="B59" s="245" t="s">
        <v>274</v>
      </c>
      <c r="C59" s="203" t="s">
        <v>27</v>
      </c>
      <c r="D59" s="231">
        <v>304813</v>
      </c>
      <c r="E59" s="232">
        <v>304972</v>
      </c>
      <c r="F59" s="232"/>
      <c r="G59" s="232"/>
      <c r="H59" s="232"/>
      <c r="I59" s="231"/>
      <c r="J59" s="231">
        <v>56587</v>
      </c>
      <c r="K59" s="232">
        <v>59382</v>
      </c>
      <c r="L59" s="232"/>
      <c r="M59" s="232"/>
      <c r="N59" s="232"/>
      <c r="O59" s="231"/>
      <c r="P59" s="231">
        <v>16747</v>
      </c>
      <c r="Q59" s="232">
        <v>14328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93698</v>
      </c>
      <c r="AU59" s="233">
        <v>0</v>
      </c>
      <c r="AV59" s="233">
        <v>0</v>
      </c>
      <c r="AW59" s="289"/>
    </row>
    <row r="60" spans="2:49" x14ac:dyDescent="0.2">
      <c r="B60" s="245" t="s">
        <v>275</v>
      </c>
      <c r="C60" s="203"/>
      <c r="D60" s="234">
        <f t="shared" ref="D60:AC60" si="0">D$59/12</f>
        <v>25401.083333333332</v>
      </c>
      <c r="E60" s="235">
        <f t="shared" si="0"/>
        <v>25414.333333333332</v>
      </c>
      <c r="F60" s="235">
        <f t="shared" si="0"/>
        <v>0</v>
      </c>
      <c r="G60" s="235">
        <f t="shared" si="0"/>
        <v>0</v>
      </c>
      <c r="H60" s="235">
        <f t="shared" si="0"/>
        <v>0</v>
      </c>
      <c r="I60" s="234">
        <f t="shared" si="0"/>
        <v>0</v>
      </c>
      <c r="J60" s="234">
        <f t="shared" si="0"/>
        <v>4715.583333333333</v>
      </c>
      <c r="K60" s="235">
        <f t="shared" si="0"/>
        <v>4948.5</v>
      </c>
      <c r="L60" s="235">
        <f t="shared" si="0"/>
        <v>0</v>
      </c>
      <c r="M60" s="235">
        <f t="shared" si="0"/>
        <v>0</v>
      </c>
      <c r="N60" s="235">
        <f t="shared" si="0"/>
        <v>0</v>
      </c>
      <c r="O60" s="234">
        <f t="shared" si="0"/>
        <v>0</v>
      </c>
      <c r="P60" s="234">
        <f t="shared" si="0"/>
        <v>1395.5833333333333</v>
      </c>
      <c r="Q60" s="235">
        <f t="shared" si="0"/>
        <v>1194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7808.166666666667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39001972</v>
      </c>
      <c r="E5" s="326">
        <v>36091117.170000002</v>
      </c>
      <c r="F5" s="326"/>
      <c r="G5" s="328"/>
      <c r="H5" s="328"/>
      <c r="I5" s="325"/>
      <c r="J5" s="325">
        <v>14373523</v>
      </c>
      <c r="K5" s="326">
        <v>16142391.2555581</v>
      </c>
      <c r="L5" s="326"/>
      <c r="M5" s="326"/>
      <c r="N5" s="326"/>
      <c r="O5" s="325"/>
      <c r="P5" s="325">
        <v>4587062</v>
      </c>
      <c r="Q5" s="326">
        <v>4051971.5244434001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2924197</v>
      </c>
      <c r="AU5" s="327">
        <v>0</v>
      </c>
      <c r="AV5" s="369"/>
      <c r="AW5" s="373"/>
    </row>
    <row r="6" spans="2:49" x14ac:dyDescent="0.2">
      <c r="B6" s="343" t="s">
        <v>278</v>
      </c>
      <c r="C6" s="331" t="s">
        <v>8</v>
      </c>
      <c r="D6" s="318">
        <v>46876</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5704</v>
      </c>
      <c r="AU6" s="321">
        <v>0</v>
      </c>
      <c r="AV6" s="368"/>
      <c r="AW6" s="374"/>
    </row>
    <row r="7" spans="2:49" x14ac:dyDescent="0.2">
      <c r="B7" s="343" t="s">
        <v>279</v>
      </c>
      <c r="C7" s="331" t="s">
        <v>9</v>
      </c>
      <c r="D7" s="318">
        <v>45187</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6314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48</v>
      </c>
      <c r="K11" s="319"/>
      <c r="L11" s="319"/>
      <c r="M11" s="319"/>
      <c r="N11" s="319"/>
      <c r="O11" s="318"/>
      <c r="P11" s="318">
        <v>521</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-9</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4092813.25</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3098070.71</v>
      </c>
      <c r="F16" s="319"/>
      <c r="G16" s="319"/>
      <c r="H16" s="319"/>
      <c r="I16" s="318"/>
      <c r="J16" s="318"/>
      <c r="K16" s="319">
        <v>-414144.63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5114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51963187</v>
      </c>
      <c r="E23" s="362"/>
      <c r="F23" s="362"/>
      <c r="G23" s="362"/>
      <c r="H23" s="362"/>
      <c r="I23" s="364"/>
      <c r="J23" s="318">
        <v>13779862</v>
      </c>
      <c r="K23" s="362"/>
      <c r="L23" s="362"/>
      <c r="M23" s="362"/>
      <c r="N23" s="362"/>
      <c r="O23" s="364"/>
      <c r="P23" s="318">
        <v>3472205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1897297</v>
      </c>
      <c r="AU23" s="321">
        <v>0</v>
      </c>
      <c r="AV23" s="368"/>
      <c r="AW23" s="374"/>
    </row>
    <row r="24" spans="2:49" ht="28.5" customHeight="1" x14ac:dyDescent="0.2">
      <c r="B24" s="345" t="s">
        <v>114</v>
      </c>
      <c r="C24" s="331"/>
      <c r="D24" s="365"/>
      <c r="E24" s="319">
        <v>49916277.5</v>
      </c>
      <c r="F24" s="319"/>
      <c r="G24" s="319"/>
      <c r="H24" s="319"/>
      <c r="I24" s="318"/>
      <c r="J24" s="365"/>
      <c r="K24" s="319">
        <v>12594060.189999999</v>
      </c>
      <c r="L24" s="319"/>
      <c r="M24" s="319"/>
      <c r="N24" s="319"/>
      <c r="O24" s="318"/>
      <c r="P24" s="365"/>
      <c r="Q24" s="319">
        <v>3639833.39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6434100</v>
      </c>
      <c r="E26" s="362"/>
      <c r="F26" s="362"/>
      <c r="G26" s="362"/>
      <c r="H26" s="362"/>
      <c r="I26" s="364"/>
      <c r="J26" s="318">
        <v>1197494</v>
      </c>
      <c r="K26" s="362"/>
      <c r="L26" s="362"/>
      <c r="M26" s="362"/>
      <c r="N26" s="362"/>
      <c r="O26" s="364"/>
      <c r="P26" s="318">
        <v>511484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266215</v>
      </c>
      <c r="AU26" s="321">
        <v>0</v>
      </c>
      <c r="AV26" s="368"/>
      <c r="AW26" s="374"/>
    </row>
    <row r="27" spans="2:49" s="5" customFormat="1" ht="25.5" x14ac:dyDescent="0.2">
      <c r="B27" s="345" t="s">
        <v>85</v>
      </c>
      <c r="C27" s="331"/>
      <c r="D27" s="365"/>
      <c r="E27" s="319">
        <v>782952.81550000038</v>
      </c>
      <c r="F27" s="319"/>
      <c r="G27" s="319"/>
      <c r="H27" s="319"/>
      <c r="I27" s="318"/>
      <c r="J27" s="365"/>
      <c r="K27" s="319">
        <v>214215.07838743209</v>
      </c>
      <c r="L27" s="319"/>
      <c r="M27" s="319"/>
      <c r="N27" s="319"/>
      <c r="O27" s="318"/>
      <c r="P27" s="365"/>
      <c r="Q27" s="319">
        <v>57089.585097493211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6637956</v>
      </c>
      <c r="E28" s="363"/>
      <c r="F28" s="363"/>
      <c r="G28" s="363"/>
      <c r="H28" s="363"/>
      <c r="I28" s="365"/>
      <c r="J28" s="318">
        <v>1881195</v>
      </c>
      <c r="K28" s="363"/>
      <c r="L28" s="363"/>
      <c r="M28" s="363"/>
      <c r="N28" s="363"/>
      <c r="O28" s="365"/>
      <c r="P28" s="318">
        <v>507389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380097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3033</v>
      </c>
      <c r="K30" s="362"/>
      <c r="L30" s="362"/>
      <c r="M30" s="362"/>
      <c r="N30" s="362"/>
      <c r="O30" s="364"/>
      <c r="P30" s="318">
        <v>11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-2295.17</v>
      </c>
      <c r="L31" s="319"/>
      <c r="M31" s="319"/>
      <c r="N31" s="319"/>
      <c r="O31" s="318"/>
      <c r="P31" s="365"/>
      <c r="Q31" s="319">
        <v>-107.26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5328</v>
      </c>
      <c r="K32" s="363"/>
      <c r="L32" s="363"/>
      <c r="M32" s="363"/>
      <c r="N32" s="363"/>
      <c r="O32" s="365"/>
      <c r="P32" s="318">
        <v>119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8844684</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316</v>
      </c>
      <c r="AU34" s="321">
        <v>0</v>
      </c>
      <c r="AV34" s="368"/>
      <c r="AW34" s="374"/>
    </row>
    <row r="35" spans="2:49" s="5" customFormat="1" x14ac:dyDescent="0.2">
      <c r="B35" s="345" t="s">
        <v>91</v>
      </c>
      <c r="C35" s="331"/>
      <c r="D35" s="365"/>
      <c r="E35" s="319">
        <v>8844684.4900000002</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11281558</v>
      </c>
      <c r="E36" s="319">
        <v>11281557.710000001</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48</v>
      </c>
      <c r="K41" s="362"/>
      <c r="L41" s="362"/>
      <c r="M41" s="362"/>
      <c r="N41" s="362"/>
      <c r="O41" s="364"/>
      <c r="P41" s="318">
        <v>521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173757</v>
      </c>
      <c r="E49" s="319">
        <v>669208.06999999995</v>
      </c>
      <c r="F49" s="319"/>
      <c r="G49" s="319"/>
      <c r="H49" s="319"/>
      <c r="I49" s="318"/>
      <c r="J49" s="318">
        <v>55257</v>
      </c>
      <c r="K49" s="319">
        <v>244069.7287605789</v>
      </c>
      <c r="L49" s="319"/>
      <c r="M49" s="319"/>
      <c r="N49" s="319"/>
      <c r="O49" s="318"/>
      <c r="P49" s="318">
        <v>6390</v>
      </c>
      <c r="Q49" s="319">
        <v>107509.49999414492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13</v>
      </c>
      <c r="AU49" s="321">
        <v>0</v>
      </c>
      <c r="AV49" s="368"/>
      <c r="AW49" s="374"/>
    </row>
    <row r="50" spans="2:49" x14ac:dyDescent="0.2">
      <c r="B50" s="343" t="s">
        <v>119</v>
      </c>
      <c r="C50" s="331" t="s">
        <v>34</v>
      </c>
      <c r="D50" s="318">
        <v>117743</v>
      </c>
      <c r="E50" s="363"/>
      <c r="F50" s="363"/>
      <c r="G50" s="363"/>
      <c r="H50" s="363"/>
      <c r="I50" s="365"/>
      <c r="J50" s="318">
        <v>51038</v>
      </c>
      <c r="K50" s="363"/>
      <c r="L50" s="363"/>
      <c r="M50" s="363"/>
      <c r="N50" s="363"/>
      <c r="O50" s="365"/>
      <c r="P50" s="318">
        <v>14808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-56</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49266452</v>
      </c>
      <c r="E54" s="323">
        <f>E24+E27+E31+E35-E36+E39+E42+E45+E46-E49+E51+E52+E53</f>
        <v>47593149.0255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13089695</v>
      </c>
      <c r="K54" s="323">
        <f>K24+K27+K31+K35-K36+K39+K42+K45+K46-K49+K51+K52+K53</f>
        <v>12561910.369626852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3485131</v>
      </c>
      <c r="Q54" s="323">
        <f>Q24+Q27+Q31+Q35-Q36+Q39+Q42+Q45+Q46-Q49+Q51+Q52+Q53</f>
        <v>3589306.2151033487</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1783662</v>
      </c>
      <c r="AU54" s="324">
        <f>AU23+AU26-AU28+AU30-AU32+AU34-AU36+AU38+AU41-AU43+AU45+AU46-AU47-AU49+AU50+AU51+AU52+AU53</f>
        <v>0</v>
      </c>
      <c r="AV54" s="368"/>
      <c r="AW54" s="374"/>
    </row>
    <row r="55" spans="2:49" ht="25.5" x14ac:dyDescent="0.2">
      <c r="B55" s="348" t="s">
        <v>493</v>
      </c>
      <c r="C55" s="335" t="s">
        <v>28</v>
      </c>
      <c r="D55" s="322">
        <f t="shared" ref="D55:AC55" si="0">MIN(MAX(0,D56),MAX(0,D57))</f>
        <v>79879</v>
      </c>
      <c r="E55" s="323">
        <f t="shared" si="0"/>
        <v>79879.11</v>
      </c>
      <c r="F55" s="323">
        <f t="shared" si="0"/>
        <v>0</v>
      </c>
      <c r="G55" s="323">
        <f t="shared" si="0"/>
        <v>0</v>
      </c>
      <c r="H55" s="323">
        <f t="shared" si="0"/>
        <v>0</v>
      </c>
      <c r="I55" s="322">
        <f t="shared" si="0"/>
        <v>0</v>
      </c>
      <c r="J55" s="322">
        <f t="shared" si="0"/>
        <v>27103</v>
      </c>
      <c r="K55" s="323">
        <f t="shared" si="0"/>
        <v>27103.21</v>
      </c>
      <c r="L55" s="323">
        <f t="shared" si="0"/>
        <v>0</v>
      </c>
      <c r="M55" s="323">
        <f t="shared" si="0"/>
        <v>0</v>
      </c>
      <c r="N55" s="323">
        <f t="shared" si="0"/>
        <v>0</v>
      </c>
      <c r="O55" s="322">
        <f t="shared" si="0"/>
        <v>0</v>
      </c>
      <c r="P55" s="322">
        <f t="shared" si="0"/>
        <v>2455</v>
      </c>
      <c r="Q55" s="323">
        <f t="shared" si="0"/>
        <v>2455.1999999999998</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128684.16</v>
      </c>
      <c r="E56" s="319">
        <v>128684.16</v>
      </c>
      <c r="F56" s="319"/>
      <c r="G56" s="319"/>
      <c r="H56" s="319"/>
      <c r="I56" s="318"/>
      <c r="J56" s="318">
        <v>30306.45</v>
      </c>
      <c r="K56" s="319">
        <v>31796.17603514266</v>
      </c>
      <c r="L56" s="319"/>
      <c r="M56" s="319"/>
      <c r="N56" s="319"/>
      <c r="O56" s="318"/>
      <c r="P56" s="318">
        <v>9086.2099999999991</v>
      </c>
      <c r="Q56" s="319">
        <v>7596.4839648573416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79879</v>
      </c>
      <c r="E57" s="319">
        <v>79879.11</v>
      </c>
      <c r="F57" s="319"/>
      <c r="G57" s="319"/>
      <c r="H57" s="319"/>
      <c r="I57" s="318"/>
      <c r="J57" s="318">
        <v>27103</v>
      </c>
      <c r="K57" s="319">
        <v>27103.21</v>
      </c>
      <c r="L57" s="319"/>
      <c r="M57" s="319"/>
      <c r="N57" s="319"/>
      <c r="O57" s="318"/>
      <c r="P57" s="318">
        <v>2455</v>
      </c>
      <c r="Q57" s="319">
        <v>2455.1999999999998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3690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42879683.299999997</v>
      </c>
      <c r="D5" s="403">
        <v>46415679.909999996</v>
      </c>
      <c r="E5" s="454"/>
      <c r="F5" s="454"/>
      <c r="G5" s="448"/>
      <c r="H5" s="402">
        <v>24536622.93</v>
      </c>
      <c r="I5" s="403">
        <v>16663876.5</v>
      </c>
      <c r="J5" s="454"/>
      <c r="K5" s="454"/>
      <c r="L5" s="448"/>
      <c r="M5" s="402">
        <v>5215194.59</v>
      </c>
      <c r="N5" s="403">
        <v>6691866.75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42676621.785999998</v>
      </c>
      <c r="D6" s="398">
        <v>45660405.314999998</v>
      </c>
      <c r="E6" s="400">
        <f>SUM('Pt 1 Summary of Data'!E$12,'Pt 1 Summary of Data'!E$22)+SUM('Pt 1 Summary of Data'!G$12,'Pt 1 Summary of Data'!G$22)-SUM('Pt 1 Summary of Data'!H$12,'Pt 1 Summary of Data'!H$22)</f>
        <v>47673028.135499999</v>
      </c>
      <c r="F6" s="400">
        <f t="shared" ref="F6:F11" si="0">SUM(C6:E6)</f>
        <v>136010055.23649999</v>
      </c>
      <c r="G6" s="401">
        <f>SUM('Pt 1 Summary of Data'!I$12,'Pt 1 Summary of Data'!I$22)</f>
        <v>0</v>
      </c>
      <c r="H6" s="397">
        <v>24543451.104314767</v>
      </c>
      <c r="I6" s="398">
        <v>16625756.335547011</v>
      </c>
      <c r="J6" s="400">
        <f>SUM('Pt 1 Summary of Data'!K$12,'Pt 1 Summary of Data'!K$22)+SUM('Pt 1 Summary of Data'!M$12,'Pt 1 Summary of Data'!M$22)-SUM('Pt 1 Summary of Data'!N$12,'Pt 1 Summary of Data'!N$22)</f>
        <v>12589013.579626853</v>
      </c>
      <c r="K6" s="400">
        <f>SUM(H6:J6)</f>
        <v>53758221.019488625</v>
      </c>
      <c r="L6" s="401">
        <f>SUM('Pt 1 Summary of Data'!O$12,'Pt 1 Summary of Data'!O$22)</f>
        <v>0</v>
      </c>
      <c r="M6" s="397">
        <v>5216294.1491648806</v>
      </c>
      <c r="N6" s="398">
        <v>6505597.5688076001</v>
      </c>
      <c r="O6" s="400">
        <f>SUM('Pt 1 Summary of Data'!Q$12,'Pt 1 Summary of Data'!Q$22)+SUM('Pt 1 Summary of Data'!S$12,'Pt 1 Summary of Data'!S$22)-SUM('Pt 1 Summary of Data'!T$12,'Pt 1 Summary of Data'!T$22)</f>
        <v>3591761.4151033489</v>
      </c>
      <c r="P6" s="400">
        <f>SUM(M6:O6)</f>
        <v>15313653.13307583</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1149825.74</v>
      </c>
      <c r="D7" s="398">
        <v>749264.58</v>
      </c>
      <c r="E7" s="400">
        <f>SUM('Pt 1 Summary of Data'!E$37:E$41)+SUM('Pt 1 Summary of Data'!G$37:G$41)-SUM('Pt 1 Summary of Data'!H$37:H$41)+MAX(0,MIN('Pt 1 Summary of Data'!E$42+'Pt 1 Summary of Data'!G$42-'Pt 1 Summary of Data'!H$42,0.3%*('Pt 1 Summary of Data'!E$5+'Pt 1 Summary of Data'!G$5-'Pt 1 Summary of Data'!H$5-SUM(E$9:E$11))))</f>
        <v>616399.24</v>
      </c>
      <c r="F7" s="400">
        <f t="shared" si="0"/>
        <v>2515489.5599999996</v>
      </c>
      <c r="G7" s="401">
        <f>SUM('Pt 1 Summary of Data'!I$37:I$41)+MAX(0,MIN(VALUE('Pt 1 Summary of Data'!I$42),0.3%*('Pt 1 Summary of Data'!I$5-SUM(G$9:G$10))))</f>
        <v>0</v>
      </c>
      <c r="H7" s="397">
        <v>964342.39</v>
      </c>
      <c r="I7" s="398">
        <v>627322.93999999994</v>
      </c>
      <c r="J7" s="400">
        <f>SUM('Pt 1 Summary of Data'!K$37:K$41)+SUM('Pt 1 Summary of Data'!M$37:M$41)-SUM('Pt 1 Summary of Data'!N$37:N$41)+MAX(0,MIN('Pt 1 Summary of Data'!K$42+'Pt 1 Summary of Data'!M$42-'Pt 1 Summary of Data'!N$42,0.3%*('Pt 1 Summary of Data'!K$5+'Pt 1 Summary of Data'!M$5-'Pt 1 Summary of Data'!N$5-SUM(J$10:J$11))))</f>
        <v>309247.02042884479</v>
      </c>
      <c r="K7" s="400">
        <f>SUM(H7:J7)</f>
        <v>1900912.3504288448</v>
      </c>
      <c r="L7" s="401">
        <f>SUM('Pt 1 Summary of Data'!O$37:O$41)+MAX(0,MIN(VALUE('Pt 1 Summary of Data'!O$42),0.3%*('Pt 1 Summary of Data'!O$5-L$10)))</f>
        <v>0</v>
      </c>
      <c r="M7" s="397">
        <v>153955.99</v>
      </c>
      <c r="N7" s="398">
        <v>153823.79</v>
      </c>
      <c r="O7" s="400">
        <f>SUM('Pt 1 Summary of Data'!Q$37:Q$41)+SUM('Pt 1 Summary of Data'!S$37:S$41)-SUM('Pt 1 Summary of Data'!T$37:T$41)+MAX(0,MIN('Pt 1 Summary of Data'!Q$42+'Pt 1 Summary of Data'!S$42-'Pt 1 Summary of Data'!T$42,0.3%*('Pt 1 Summary of Data'!Q$5+'Pt 1 Summary of Data'!S$5-'Pt 1 Summary of Data'!T$5)))</f>
        <v>120384.04957115519</v>
      </c>
      <c r="P7" s="400">
        <f>SUM(M7:O7)</f>
        <v>428163.82957115525</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4158821.94</v>
      </c>
      <c r="E9" s="400">
        <f>'Pt 2 Premium and Claims'!E$15+'Pt 2 Premium and Claims'!G$15-'Pt 2 Premium and Claims'!H$15</f>
        <v>4092813.25</v>
      </c>
      <c r="F9" s="400">
        <f t="shared" si="0"/>
        <v>8251635.1899999995</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2574546.0099999998</v>
      </c>
      <c r="E10" s="400">
        <f>'Pt 2 Premium and Claims'!E$16+'Pt 2 Premium and Claims'!G$16-'Pt 2 Premium and Claims'!H$16</f>
        <v>3098070.71</v>
      </c>
      <c r="F10" s="400">
        <f t="shared" si="0"/>
        <v>5672616.7199999997</v>
      </c>
      <c r="G10" s="401">
        <f>'Pt 2 Premium and Claims'!I$16</f>
        <v>0</v>
      </c>
      <c r="H10" s="443"/>
      <c r="I10" s="398">
        <v>-1101495.8600000001</v>
      </c>
      <c r="J10" s="400">
        <f>'Pt 2 Premium and Claims'!K$16+'Pt 2 Premium and Claims'!M$16-'Pt 2 Premium and Claims'!N$16</f>
        <v>-414144.63</v>
      </c>
      <c r="K10" s="400">
        <f>SUM(H10:J10)</f>
        <v>-1515640.4900000002</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43826447.526000001</v>
      </c>
      <c r="D12" s="400">
        <f>SUM(D$6:D$7) - SUM(D$8:D$11)+IF(AND(OR('Company Information'!$C$12="District of Columbia",'Company Information'!$C$12="Massachusetts",'Company Information'!$C$12="Vermont"),SUM($C$6:$F$11,$C$15:$F$16,$C$38:$D$38)&lt;&gt;0),SUM(I$6:I$7) - SUM(I$10:I$11),0)</f>
        <v>39676301.944999993</v>
      </c>
      <c r="E12" s="400">
        <f>SUM(E$6:E$7)-SUM(E$8:E$11)+IF(AND(OR('Company Information'!$C$12="District of Columbia",'Company Information'!$C$12="Massachusetts",'Company Information'!$C$12="Vermont"),SUM($C$6:$F$11,$C$15:$F$16,$C$38:$D$38)&lt;&gt;0),SUM(J$6:J$7)-SUM(J$10:J$11),0)</f>
        <v>41098543.4155</v>
      </c>
      <c r="F12" s="400">
        <f>IFERROR(SUM(C$12:E$12)+C$17*MAX(0,E$50-C$50)+D$17*MAX(0,E$50-D$50),0)</f>
        <v>124601292.88649999</v>
      </c>
      <c r="G12" s="447"/>
      <c r="H12" s="399">
        <f>SUM(H$6:H$7)+IF(AND(OR('Company Information'!$C$12="District of Columbia",'Company Information'!$C$12="Massachusetts",'Company Information'!$C$12="Vermont"),SUM($H$6:$K$11,$H$15:$K$16,$H$38:$I$38)&lt;&gt;0),SUM(C$6:C$7),0)</f>
        <v>25507793.494314767</v>
      </c>
      <c r="I12" s="400">
        <f>SUM(I$6:I$7) - SUM(I$10:I$11)+IF(AND(OR('Company Information'!$C$12="District of Columbia",'Company Information'!$C$12="Massachusetts",'Company Information'!$C$12="Vermont"),SUM($H$6:$K$11,$H$15:$K$16,$H$38:$I$38)&lt;&gt;0),SUM(D$6:D$7) - SUM(D$8:D$11),0)</f>
        <v>18354575.135547012</v>
      </c>
      <c r="J12" s="400">
        <f>SUM(J$6:J$7)-SUM(J$10:J$11)+IF(AND(OR('Company Information'!$C$12="District of Columbia",'Company Information'!$C$12="Massachusetts",'Company Information'!$C$12="Vermont"),SUM($H$6:$K$11,$H$15:$K$16,$H$38:$I$38)&lt;&gt;0),SUM(E$6:E$7)-SUM(E$8:E$11),0)</f>
        <v>13312405.230055699</v>
      </c>
      <c r="K12" s="400">
        <f>IFERROR(SUM(H$12:J$12)+H$17*MAX(0,J$50-H$50)+I$17*MAX(0,J$50-I$50),0)</f>
        <v>57174773.859917477</v>
      </c>
      <c r="L12" s="447"/>
      <c r="M12" s="399">
        <f>SUM(M$6:M$7)</f>
        <v>5370250.1391648808</v>
      </c>
      <c r="N12" s="400">
        <f>SUM(N$6:N$7)</f>
        <v>6659421.3588076001</v>
      </c>
      <c r="O12" s="400">
        <f>SUM(O$6:O$7)</f>
        <v>3712145.464674504</v>
      </c>
      <c r="P12" s="400">
        <f>SUM(M$12:O$12)+M$17*MAX(0,O$50-M$50)+N$17*MAX(0,O$50-N$50)</f>
        <v>15741816.962646985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50092123.520000003</v>
      </c>
      <c r="D15" s="403">
        <v>45699005.880000003</v>
      </c>
      <c r="E15" s="395">
        <f>SUM('Pt 1 Summary of Data'!E$5:E$7)+SUM('Pt 1 Summary of Data'!G$5:G$7)-SUM('Pt 1 Summary of Data'!H$5:H$7)-SUM(E$9:E$11)</f>
        <v>36089969.539999999</v>
      </c>
      <c r="F15" s="395">
        <f>SUM(C15:E15)</f>
        <v>131881098.94</v>
      </c>
      <c r="G15" s="396">
        <f>SUM('Pt 1 Summary of Data'!I$5:I$7)-SUM(G$9:G$10)</f>
        <v>0</v>
      </c>
      <c r="H15" s="402">
        <v>30760980.170000002</v>
      </c>
      <c r="I15" s="403">
        <v>22393695.579999998</v>
      </c>
      <c r="J15" s="395">
        <f>SUM('Pt 1 Summary of Data'!K$5:K$7)+SUM('Pt 1 Summary of Data'!M$5:M$7)-SUM('Pt 1 Summary of Data'!N$5:N$7)-SUM(J$10:J$11)</f>
        <v>16142063.3255581</v>
      </c>
      <c r="K15" s="395">
        <f>SUM(H15:J15)</f>
        <v>69296739.075558096</v>
      </c>
      <c r="L15" s="396">
        <f>SUM('Pt 1 Summary of Data'!O$5:O$7)-L$10</f>
        <v>0</v>
      </c>
      <c r="M15" s="402">
        <v>6209422.8399999999</v>
      </c>
      <c r="N15" s="403">
        <v>8002641.4199999999</v>
      </c>
      <c r="O15" s="395">
        <f>SUM('Pt 1 Summary of Data'!Q$5:Q$7)+SUM('Pt 1 Summary of Data'!S$5:S$7)-SUM('Pt 1 Summary of Data'!T$5:T$7)+N$56</f>
        <v>4051799.0744433999</v>
      </c>
      <c r="P15" s="395">
        <f>SUM(M15:O15)</f>
        <v>18263863.334443398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-2599308.73</v>
      </c>
      <c r="D16" s="398">
        <v>-2184256.7400000002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-4774870.1199999992</v>
      </c>
      <c r="F16" s="400">
        <f>SUM(C16:E16)</f>
        <v>-9558435.5899999999</v>
      </c>
      <c r="G16" s="401">
        <f>SUM('Pt 1 Summary of Data'!I$25:I$28,'Pt 1 Summary of Data'!I$30,'Pt 1 Summary of Data'!I$34:I$35)+IF('Company Information'!$C$15="No",IF(MAX('Pt 1 Summary of Data'!I$31:I$32)=0,MIN('Pt 1 Summary of Data'!I$31:I$32),MAX('Pt 1 Summary of Data'!I$31:I$32)),SUM('Pt 1 Summary of Data'!I$31:I$32))</f>
        <v>0</v>
      </c>
      <c r="H16" s="397">
        <v>-337038.87</v>
      </c>
      <c r="I16" s="398">
        <v>1205701.5</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237535.92419666424</v>
      </c>
      <c r="K16" s="400">
        <f>SUM(H16:J16)</f>
        <v>1106198.5541966641</v>
      </c>
      <c r="L16" s="401">
        <f>SUM('Pt 1 Summary of Data'!O$25:O$28,'Pt 1 Summary of Data'!O$30,'Pt 1 Summary of Data'!O$34:O$35)+IF('Company Information'!$C$15="No",IF(MAX('Pt 1 Summary of Data'!O$31:O$32)=0,MIN('Pt 1 Summary of Data'!O$31:O$32),MAX('Pt 1 Summary of Data'!O$31:O$32)),SUM('Pt 1 Summary of Data'!O$31:O$32))</f>
        <v>0</v>
      </c>
      <c r="M16" s="397">
        <v>183110.27</v>
      </c>
      <c r="N16" s="398">
        <v>-218962.21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15032.64793352203</v>
      </c>
      <c r="P16" s="400">
        <f>SUM(M16:O16)</f>
        <v>-20819.292066477974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52691432.25</v>
      </c>
      <c r="D17" s="400">
        <f>D$15-D$16+IF(AND(OR('Company Information'!$C$12="District of Columbia",'Company Information'!$C$12="Massachusetts",'Company Information'!$C$12="Vermont"),SUM($C$6:$F$11,$C$15:$F$16,$C$38:$D$38)&lt;&gt;0),I$15-I$16,0)</f>
        <v>47883262.620000005</v>
      </c>
      <c r="E17" s="400">
        <f>E$15-E$16+IF(AND(OR('Company Information'!$C$12="District of Columbia",'Company Information'!$C$12="Massachusetts",'Company Information'!$C$12="Vermont"),SUM($C$6:$F$11,$C$15:$F$16,$C$38:$D$38)&lt;&gt;0),J$15-J$16,0)</f>
        <v>40864839.659999996</v>
      </c>
      <c r="F17" s="400">
        <f>F$15-F$16+IF(AND(OR('Company Information'!$C$12="District of Columbia",'Company Information'!$C$12="Massachusetts",'Company Information'!$C$12="Vermont"),SUM($C$6:$F$11,$C$15:$F$16,$C$38:$D$38)&lt;&gt;0),K$15-K$16,0)</f>
        <v>141439534.53</v>
      </c>
      <c r="G17" s="450"/>
      <c r="H17" s="399">
        <f>H$15-H$16+IF(AND(OR('Company Information'!$C$12="District of Columbia",'Company Information'!$C$12="Massachusetts",'Company Information'!$C$12="Vermont"),SUM($H$6:$K$11,$H$15:$K$16,$H$38:$I$38)&lt;&gt;0),C$15-C$16,0)</f>
        <v>31098019.040000003</v>
      </c>
      <c r="I17" s="400">
        <f>I$15-I$16+IF(AND(OR('Company Information'!$C$12="District of Columbia",'Company Information'!$C$12="Massachusetts",'Company Information'!$C$12="Vermont"),SUM($H$6:$K$11,$H$15:$K$16,$H$38:$I$38)&lt;&gt;0),D$15-D$16,0)</f>
        <v>21187994.079999998</v>
      </c>
      <c r="J17" s="400">
        <f>J$15-J$16+IF(AND(OR('Company Information'!$C$12="District of Columbia",'Company Information'!$C$12="Massachusetts",'Company Information'!$C$12="Vermont"),SUM($H$6:$K$11,$H$15:$K$16,$H$38:$I$38)&lt;&gt;0),E$15-E$16,0)</f>
        <v>15904527.401361436</v>
      </c>
      <c r="K17" s="400">
        <f>K$15-K$16+IF(AND(OR('Company Information'!$C$12="District of Columbia",'Company Information'!$C$12="Massachusetts",'Company Information'!$C$12="Vermont"),SUM($H$6:$K$11,$H$15:$K$16,$H$38:$I$38)&lt;&gt;0),F$15-F$16,0)</f>
        <v>68190540.521361426</v>
      </c>
      <c r="L17" s="450"/>
      <c r="M17" s="399">
        <f>M$15-M$16</f>
        <v>6026312.5700000003</v>
      </c>
      <c r="N17" s="400">
        <f>N$15-N$16</f>
        <v>8221603.6299999999</v>
      </c>
      <c r="O17" s="400">
        <f>O$15-O$16</f>
        <v>4036766.4265098777</v>
      </c>
      <c r="P17" s="400">
        <f>P$15-P$16</f>
        <v>18284682.626509875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41810</v>
      </c>
      <c r="D38" s="405">
        <v>34911.17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25414.333333333332</v>
      </c>
      <c r="F38" s="432">
        <f>SUM(C$38:E$38)+IF(AND(OR('Company Information'!$C$12="District of Columbia",'Company Information'!$C$12="Massachusetts",'Company Information'!$C$12="Vermont"),SUM($C$6:$F$11,$C$15:$F$16,$C$38:$D$38)&lt;&gt;0,SUM(C$38:D$38)&lt;&gt;SUM(H$38:I$38)),SUM(H$38:I$38),0)</f>
        <v>102135.50333333333</v>
      </c>
      <c r="G38" s="448"/>
      <c r="H38" s="404">
        <v>11005</v>
      </c>
      <c r="I38" s="405">
        <v>7470.5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4948.5</v>
      </c>
      <c r="K38" s="432">
        <f>SUM(H$38:J$38)+IF(AND(OR('Company Information'!$C$12="District of Columbia",'Company Information'!$C$12="Massachusetts",'Company Information'!$C$12="Vermont"),SUM($H$6:$K$11,$H$15:$K$16,$H$38:$I$38)&lt;&gt;0,SUM(H$38:I$38)&lt;&gt;SUM(C$38:D$38)),SUM(C$38:D$38),0)</f>
        <v>23424</v>
      </c>
      <c r="L38" s="448"/>
      <c r="M38" s="404">
        <v>1940</v>
      </c>
      <c r="N38" s="405">
        <v>2615.25</v>
      </c>
      <c r="O38" s="432">
        <f>('Pt 1 Summary of Data'!Q$59+'Pt 1 Summary of Data'!S$59-'Pt 1 Summary of Data'!T$59)/12</f>
        <v>1194</v>
      </c>
      <c r="P38" s="432">
        <f>SUM(M$38:O$38)</f>
        <v>5749.25</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1.7050666666666665E-2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3.5351649999999998E-2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8501</v>
      </c>
      <c r="G40" s="447"/>
      <c r="H40" s="443"/>
      <c r="I40" s="441"/>
      <c r="J40" s="441"/>
      <c r="K40" s="398">
        <v>1822</v>
      </c>
      <c r="L40" s="447"/>
      <c r="M40" s="443"/>
      <c r="N40" s="441"/>
      <c r="O40" s="441"/>
      <c r="P40" s="398">
        <v>2566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1.6358668000000001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1.1702831999999999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 ca="1">IF(OR(K$38&lt;1000,K$38&gt;=75000),0,K$39*K$41)</f>
        <v>1.7050666666666665E-2</v>
      </c>
      <c r="L42" s="447"/>
      <c r="M42" s="443"/>
      <c r="N42" s="441"/>
      <c r="O42" s="441"/>
      <c r="P42" s="436">
        <f ca="1">IF(OR(P$38&lt;1000,P$38&gt;=75000),0,P$39*P$41)</f>
        <v>4.137144208727999E-2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0.83175661876224671</v>
      </c>
      <c r="D45" s="436">
        <f>IF(OR(D$38&lt;1000,D$17&lt;=0),"",D$12/D$17)</f>
        <v>0.82860481458562707</v>
      </c>
      <c r="E45" s="436">
        <f>IF(OR(E$38&lt;1000,E$17&lt;=0),"",E$12/E$17)</f>
        <v>1.0057189446341757</v>
      </c>
      <c r="F45" s="436">
        <f>IF(OR(F$38&lt;1000,F$17&lt;=0),"",F$12/F$17)</f>
        <v>0.88095095406349389</v>
      </c>
      <c r="G45" s="447"/>
      <c r="H45" s="438">
        <f>IF(OR(H$38&lt;1000,H$17&lt;=0),"",H$12/H$17)</f>
        <v>0.82023853228416976</v>
      </c>
      <c r="I45" s="436">
        <f>IF(OR(I$38&lt;1000,I$17&lt;=0),"",I$12/I$17)</f>
        <v>0.86627243080421956</v>
      </c>
      <c r="J45" s="436">
        <f>IF(OR(J$38&lt;1000,J$17&lt;=0),"",J$12/J$17)</f>
        <v>0.83701985567431259</v>
      </c>
      <c r="K45" s="436">
        <f>IF(OR(K$38&lt;1000,K$17&lt;=0),"",K$12/K$17)</f>
        <v>0.8384560882312827</v>
      </c>
      <c r="L45" s="447"/>
      <c r="M45" s="438">
        <f>IF(OR(M$38&lt;1000,M$17&lt;=0),"",M$12/M$17)</f>
        <v>0.89113368694131323</v>
      </c>
      <c r="N45" s="436">
        <f>IF(OR(N$38&lt;1000,N$17&lt;=0),"",N$12/N$17)</f>
        <v>0.80999056370315436</v>
      </c>
      <c r="O45" s="436">
        <f>IF(OR(O$38&lt;1000,O$17&lt;=0),"",O$12/O$17)</f>
        <v>0.91958391258321193</v>
      </c>
      <c r="P45" s="436">
        <f>IF(OR(P$38&lt;1000,P$17&lt;=0),"",P$12/P$17)</f>
        <v>0.86092918779043281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IF(F$45="","",F$42)</f>
        <v>0</v>
      </c>
      <c r="G47" s="447"/>
      <c r="H47" s="443"/>
      <c r="I47" s="441"/>
      <c r="J47" s="441"/>
      <c r="K47" s="436">
        <f ca="1">IF(K$45="","",K$42)</f>
        <v>1.7050666666666665E-2</v>
      </c>
      <c r="L47" s="447"/>
      <c r="M47" s="443"/>
      <c r="N47" s="441"/>
      <c r="O47" s="441"/>
      <c r="P47" s="436">
        <f ca="1">IF(P$45="","",P$42)</f>
        <v>4.137144208727999E-2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IF(F$45="","",ROUND(F$45+MAX(0,F$47),3))</f>
        <v>0.88100000000000001</v>
      </c>
      <c r="G48" s="447"/>
      <c r="H48" s="443"/>
      <c r="I48" s="441"/>
      <c r="J48" s="441"/>
      <c r="K48" s="436">
        <f ca="1">IF(K$45="","",ROUND(K$45+MAX(0,K$47),3))</f>
        <v>0.85599999999999998</v>
      </c>
      <c r="L48" s="447"/>
      <c r="M48" s="443"/>
      <c r="N48" s="441"/>
      <c r="O48" s="441"/>
      <c r="P48" s="436">
        <f ca="1">IF(P$45="","",ROUND(P$45+MAX(0,P$47),3))</f>
        <v>0.90200000000000002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0.88100000000000001</v>
      </c>
      <c r="G51" s="447"/>
      <c r="H51" s="444"/>
      <c r="I51" s="442"/>
      <c r="J51" s="442"/>
      <c r="K51" s="436">
        <f ca="1">K$48</f>
        <v>0.85599999999999998</v>
      </c>
      <c r="L51" s="447"/>
      <c r="M51" s="444"/>
      <c r="N51" s="442"/>
      <c r="O51" s="442"/>
      <c r="P51" s="436">
        <f ca="1">P$48</f>
        <v>0.90200000000000002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40864839.659999996</v>
      </c>
      <c r="G52" s="447"/>
      <c r="H52" s="443"/>
      <c r="I52" s="441"/>
      <c r="J52" s="441"/>
      <c r="K52" s="400">
        <f>IF(K$38&lt;1000,"",MAX(0,J$15-J$16))</f>
        <v>15904527.401361436</v>
      </c>
      <c r="L52" s="447"/>
      <c r="M52" s="443"/>
      <c r="N52" s="441"/>
      <c r="O52" s="441"/>
      <c r="P52" s="400">
        <f>IF(P$38&lt;1000,"",MAX(0,O$15-O$16))</f>
        <v>4036766.4265098777</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398222.62660000002</v>
      </c>
      <c r="D56" s="441"/>
      <c r="E56" s="441"/>
      <c r="F56" s="441"/>
      <c r="G56" s="447"/>
      <c r="H56" s="397">
        <v>158732.7677</v>
      </c>
      <c r="I56" s="441"/>
      <c r="J56" s="441"/>
      <c r="K56" s="441"/>
      <c r="L56" s="447"/>
      <c r="M56" s="397">
        <v>25628.227916</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-20663.268889999999</v>
      </c>
      <c r="D57" s="441"/>
      <c r="E57" s="441"/>
      <c r="F57" s="441"/>
      <c r="G57" s="447"/>
      <c r="H57" s="397">
        <v>-1739.1255169999999</v>
      </c>
      <c r="I57" s="441"/>
      <c r="J57" s="441"/>
      <c r="K57" s="441"/>
      <c r="L57" s="447"/>
      <c r="M57" s="397">
        <v>755.72967879999999</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7527</v>
      </c>
      <c r="D4" s="104">
        <f>'Pt 1 Summary of Data'!$K$56+'Pt 1 Summary of Data'!$M$56-'Pt 1 Summary of Data'!$N$56</f>
        <v>1790</v>
      </c>
      <c r="E4" s="104">
        <f>'Pt 1 Summary of Data'!$Q$56+'Pt 1 Summary of Data'!$S$56-'Pt 1 Summary of Data'!$T$56</f>
        <v>600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