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Q46" i="10"/>
  <c r="P45" i="10"/>
  <c r="P48" i="10" s="1"/>
  <c r="P51" i="10" s="1"/>
  <c r="O45" i="10"/>
  <c r="N45" i="10"/>
  <c r="M45" i="10"/>
  <c r="AB42" i="10"/>
  <c r="X42" i="10"/>
  <c r="T42" i="10"/>
  <c r="P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L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D22" i="4" s="1"/>
  <c r="AU54" i="18"/>
  <c r="AT54" i="18"/>
  <c r="AS54" i="18"/>
  <c r="AC54" i="18"/>
  <c r="AB54" i="18"/>
  <c r="AA54" i="18"/>
  <c r="Z54" i="18"/>
  <c r="Y54" i="18"/>
  <c r="X54" i="18"/>
  <c r="W54" i="18"/>
  <c r="V54" i="18"/>
  <c r="U54" i="18"/>
  <c r="T54" i="18"/>
  <c r="S54" i="18"/>
  <c r="R54" i="18"/>
  <c r="Q54" i="18"/>
  <c r="Q12" i="4" s="1"/>
  <c r="O6" i="10" s="1"/>
  <c r="P54" i="18"/>
  <c r="O54" i="18"/>
  <c r="N54" i="18"/>
  <c r="M54" i="18"/>
  <c r="L54" i="18"/>
  <c r="L12" i="4" s="1"/>
  <c r="K54" i="18"/>
  <c r="K12" i="4" s="1"/>
  <c r="J6" i="10" s="1"/>
  <c r="K6" i="10" s="1"/>
  <c r="J54" i="18"/>
  <c r="I54" i="18"/>
  <c r="H54" i="18"/>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I22" i="4"/>
  <c r="H22" i="4"/>
  <c r="G22" i="4"/>
  <c r="F22" i="4"/>
  <c r="E22" i="4"/>
  <c r="AU12" i="4"/>
  <c r="AT12" i="4"/>
  <c r="AS12" i="4"/>
  <c r="AC12" i="4"/>
  <c r="AB12" i="4"/>
  <c r="AA12" i="4"/>
  <c r="Z12" i="4"/>
  <c r="Y12" i="4"/>
  <c r="X12" i="4"/>
  <c r="W12" i="4"/>
  <c r="V12" i="4"/>
  <c r="U12" i="4"/>
  <c r="T12" i="4"/>
  <c r="S12" i="4"/>
  <c r="R12" i="4"/>
  <c r="P12" i="4"/>
  <c r="O12" i="4"/>
  <c r="N12" i="4"/>
  <c r="M12" i="4"/>
  <c r="J12" i="4"/>
  <c r="I12" i="4"/>
  <c r="H12" i="4"/>
  <c r="G12" i="4"/>
  <c r="F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L30" i="10"/>
  <c r="L31" i="10" s="1"/>
  <c r="L29" i="10" s="1"/>
  <c r="L33" i="10" s="1"/>
  <c r="L34" i="10" s="1"/>
  <c r="E7" i="10"/>
  <c r="F7" i="10" s="1"/>
  <c r="O12" i="10"/>
  <c r="P12" i="10" s="1"/>
  <c r="P6" i="10"/>
  <c r="K15" i="10"/>
  <c r="G7" i="10"/>
  <c r="G27" i="10" s="1"/>
  <c r="J7" i="10"/>
  <c r="E15" i="10"/>
  <c r="P47" i="10"/>
  <c r="G24" i="10"/>
  <c r="G32" i="10"/>
  <c r="L21" i="10"/>
  <c r="L26" i="10" s="1"/>
  <c r="L25" i="10" s="1"/>
  <c r="L28" i="10" s="1"/>
  <c r="X13" i="10"/>
  <c r="T13" i="10"/>
  <c r="G23" i="10" l="1"/>
  <c r="G19" i="10"/>
  <c r="K7" i="10"/>
  <c r="J38" i="10" s="1"/>
  <c r="G20" i="10"/>
  <c r="G22" i="10" s="1"/>
  <c r="F15" i="10"/>
  <c r="E17" i="10"/>
  <c r="C17" i="10"/>
  <c r="E38" i="10"/>
  <c r="D17" i="10"/>
  <c r="E12" i="10"/>
  <c r="K17" i="10" l="1"/>
  <c r="H12" i="10"/>
  <c r="I12" i="10"/>
  <c r="J12" i="10"/>
  <c r="H17" i="10"/>
  <c r="H45" i="10" s="1"/>
  <c r="I17" i="10"/>
  <c r="I45" i="10" s="1"/>
  <c r="J17" i="10"/>
  <c r="J45" i="10" s="1"/>
  <c r="E45" i="10"/>
  <c r="F38" i="10"/>
  <c r="F17" i="10"/>
  <c r="C12" i="10"/>
  <c r="D12" i="10"/>
  <c r="D45" i="10" s="1"/>
  <c r="K38" i="10"/>
  <c r="G30" i="10"/>
  <c r="G31" i="10" s="1"/>
  <c r="G29" i="10" s="1"/>
  <c r="G33" i="10" s="1"/>
  <c r="G34" i="10" s="1"/>
  <c r="G21" i="10"/>
  <c r="G26" i="10" s="1"/>
  <c r="G25" i="10" s="1"/>
  <c r="G28" i="10" s="1"/>
  <c r="F12" i="10" l="1"/>
  <c r="F45" i="10" s="1"/>
  <c r="C45" i="10"/>
  <c r="K12" i="10"/>
  <c r="K42" i="10"/>
  <c r="K53" i="10"/>
  <c r="D11" i="16" s="1"/>
  <c r="K45" i="10"/>
  <c r="K52" i="10"/>
  <c r="K39" i="10"/>
  <c r="F52" i="10"/>
  <c r="F39" i="10"/>
  <c r="F42" i="10" s="1"/>
  <c r="F47" i="10" l="1"/>
  <c r="F48" i="10" s="1"/>
  <c r="F51" i="10" s="1"/>
  <c r="F53" i="10" s="1"/>
  <c r="C11" i="16" s="1"/>
  <c r="K47" i="10"/>
  <c r="K48" i="10"/>
  <c r="K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<sst xmlns="http://schemas.openxmlformats.org/spreadsheetml/2006/main" count="570" uniqueCount="509">
  <si>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</si>
  <si>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</si>
  <si>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</si>
  <si>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</si>
  <si>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</si>
  <si>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</si>
  <si>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</si>
  <si>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</si>
  <si>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</si>
  <si>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</si>
  <si>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</si>
  <si>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</si>
  <si>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</si>
  <si>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</si>
  <si>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</si>
  <si>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</si>
  <si>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</si>
  <si>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</si>
  <si>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</si>
  <si>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</si>
  <si>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</si>
  <si>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</si>
  <si>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</si>
  <si>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</si>
  <si>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</si>
  <si>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</si>
  <si>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</si>
  <si>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</si>
  <si>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</si>
  <si>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</si>
  <si>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</si>
  <si>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</si>
  <si>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</si>
  <si>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</si>
  <si>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</si>
  <si>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</si>
  <si>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</si>
  <si>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</si>
  <si>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</si>
  <si>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</si>
  <si>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</si>
  <si>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</si>
  <si>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</si>
  <si>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</si>
  <si>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</si>
  <si>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</si>
  <si>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</si>
  <si>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</si>
  <si>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</si>
  <si>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</si>
  <si>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</si>
  <si>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</si>
  <si>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</si>
  <si>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</si>
  <si>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</si>
  <si>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</si>
  <si>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</si>
  <si>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</si>
  <si>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</si>
  <si>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</si>
  <si>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</si>
  <si>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</si>
  <si>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</si>
  <si>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</si>
  <si>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</si>
  <si>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</si>
  <si>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</si>
  <si>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</si>
  <si>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</si>
  <si>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</si>
  <si>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</si>
  <si>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</si>
  <si>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</si>
  <si>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</si>
  <si>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</si>
  <si>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</si>
  <si>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</si>
  <si>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</si>
  <si>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</si>
  <si>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</si>
  <si>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</si>
  <si>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</si>
  <si>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</si>
  <si>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</si>
  <si>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</si>
  <si>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</si>
  <si>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</si>
  <si>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</si>
  <si>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</si>
  <si>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</si>
  <si>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</si>
  <si>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</si>
  <si>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</si>
  <si>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</si>
  <si>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</si>
  <si>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</si>
  <si>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</si>
  <si>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</si>
  <si>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</si>
  <si>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</si>
  <si>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</si>
  <si>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</si>
  <si>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</si>
  <si>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</si>
  <si>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</si>
  <si>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</si>
  <si>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</si>
  <si>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</si>
  <si>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</si>
  <si>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</si>
  <si>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</si>
  <si>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</si>
  <si>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</si>
  <si>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</si>
  <si>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</si>
  <si>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</si>
  <si>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</si>
  <si>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</si>
  <si>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</si>
  <si>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</si>
  <si>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</si>
  <si>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</si>
  <si>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</si>
  <si>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</si>
  <si>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</si>
  <si>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</si>
  <si>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</si>
  <si>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</si>
  <si>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</si>
  <si>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</si>
  <si>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</si>
  <si>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</si>
  <si>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</si>
  <si>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</si>
  <si>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</si>
  <si>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</si>
  <si>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</si>
  <si>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</si>
  <si>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</si>
  <si>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</si>
  <si>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</si>
  <si>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</si>
  <si>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</si>
  <si>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</si>
  <si>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</si>
  <si>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</si>
  <si>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</si>
  <si>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</si>
  <si>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</si>
  <si>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</si>
  <si>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</si>
  <si>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</si>
  <si>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</si>
  <si>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</si>
  <si>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</si>
  <si>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</si>
  <si>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</si>
  <si>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</si>
  <si>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</si>
  <si>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</si>
  <si>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</si>
  <si>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</si>
  <si>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</si>
  <si>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</si>
  <si>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</si>
  <si>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</si>
  <si>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</si>
  <si>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</si>
  <si>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</si>
  <si>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</si>
  <si>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</si>
  <si>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</si>
  <si>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</si>
  <si>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</si>
  <si>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</si>
  <si>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</si>
  <si>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</si>
  <si>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</si>
  <si>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</si>
  <si>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</si>
  <si>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</si>
  <si>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</si>
  <si>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</si>
  <si>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</si>
  <si>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</si>
  <si>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</si>
  <si>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</si>
  <si>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</si>
  <si>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</si>
  <si>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</si>
  <si>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</si>
  <si>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</si>
  <si>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</si>
  <si>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</si>
  <si>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</si>
  <si>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</si>
  <si>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</si>
  <si>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</si>
  <si>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</si>
  <si>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</si>
  <si>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</si>
  <si>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</si>
  <si>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</si>
  <si>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</si>
  <si>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</si>
  <si>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</si>
  <si>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</si>
  <si>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</si>
  <si>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</si>
  <si>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</si>
  <si>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</si>
  <si>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</si>
  <si>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</si>
  <si>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</si>
  <si>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</si>
  <si>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</si>
  <si>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</si>
  <si>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</si>
  <si>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</si>
  <si>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</si>
  <si>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</si>
  <si>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</si>
  <si>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</si>
  <si>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</si>
  <si>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</si>
  <si>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</si>
  <si>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</si>
  <si>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</si>
  <si>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</si>
  <si>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</si>
  <si>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</si>
  <si>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</si>
  <si>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</si>
  <si>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</si>
  <si>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</si>
  <si>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</si>
  <si>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</si>
  <si>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</si>
  <si>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</si>
  <si>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</si>
  <si>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</si>
  <si>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</si>
  <si>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</si>
  <si>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</si>
  <si>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</si>
  <si>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</si>
  <si>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</si>
  <si>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</si>
  <si>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</si>
  <si>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</si>
  <si>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</si>
  <si>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</si>
  <si>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</si>
  <si>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</si>
  <si>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</si>
  <si>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</si>
  <si>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</si>
  <si>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</si>
  <si>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</si>
  <si>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</si>
  <si>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</si>
  <si>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</si>
  <si>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</si>
  <si>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</si>
  <si>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</si>
  <si>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</si>
  <si>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</si>
  <si>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</si>
  <si>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</si>
  <si>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</si>
  <si>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</si>
  <si>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</si>
  <si>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</si>
  <si>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</si>
  <si>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</si>
  <si>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</si>
  <si>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</si>
  <si>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</si>
  <si>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</si>
  <si>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</si>
  <si>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</si>
  <si>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</si>
  <si>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</si>
  <si>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</si>
  <si>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</si>
  <si>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</si>
  <si>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</si>
  <si>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</si>
  <si>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</si>
  <si>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</si>
  <si>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</si>
  <si>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</si>
  <si>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</si>
  <si>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</si>
  <si>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</si>
  <si>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</si>
  <si>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</si>
  <si>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</si>
  <si>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</si>
  <si>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</si>
  <si>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</si>
  <si>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</si>
  <si>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</si>
  <si>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</si>
  <si>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</si>
  <si>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</si>
  <si>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</si>
  <si>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</si>
  <si>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</si>
  <si>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</si>
  <si>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</si>
  <si>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</si>
  <si>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</si>
  <si>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</si>
  <si>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</si>
  <si>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</si>
  <si>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</si>
  <si>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</si>
  <si>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</si>
  <si>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</si>
  <si>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</si>
  <si>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</si>
  <si>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</si>
  <si>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</si>
  <si>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</si>
  <si>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</si>
  <si>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</si>
  <si>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</si>
  <si>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</si>
  <si>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</si>
  <si>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</si>
  <si>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</si>
  <si>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</si>
  <si>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</si>
  <si>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</si>
  <si>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</si>
  <si>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</si>
  <si>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</si>
  <si>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</si>
  <si>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</si>
  <si>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</si>
  <si>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</si>
  <si>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</si>
  <si>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</si>
  <si>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</si>
  <si>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</si>
  <si>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</si>
  <si>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</si>
  <si>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</si>
  <si>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</si>
  <si>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</si>
  <si>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</si>
  <si>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</si>
  <si>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</si>
  <si>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</si>
  <si>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</si>
  <si>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</si>
  <si>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</si>
  <si>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</si>
  <si>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</si>
  <si>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</si>
  <si>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</si>
  <si>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</si>
  <si>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</si>
  <si>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</si>
  <si>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</si>
  <si>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</si>
  <si>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</si>
  <si>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</si>
  <si>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</si>
  <si>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</si>
  <si>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</si>
  <si>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</si>
  <si>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</si>
  <si>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</si>
  <si>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</si>
  <si>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</si>
  <si>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</si>
  <si>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</si>
  <si>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</si>
  <si>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</si>
  <si>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</si>
  <si>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</si>
  <si>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</si>
  <si>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</si>
  <si>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</si>
  <si>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</si>
  <si>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</si>
  <si>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</si>
  <si>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</si>
  <si>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</si>
  <si>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</si>
  <si>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</si>
  <si>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</si>
  <si>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</si>
  <si>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</si>
  <si>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</si>
  <si>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</si>
  <si>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</si>
  <si>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</si>
  <si>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</si>
  <si>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</si>
  <si>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</si>
  <si>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</si>
  <si>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</si>
  <si>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</si>
  <si>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</si>
  <si>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</si>
  <si>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</si>
  <si>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</si>
  <si>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</si>
  <si>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</si>
  <si>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</si>
  <si>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</si>
  <si>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</si>
  <si>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</si>
  <si>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</si>
  <si>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</si>
  <si>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</si>
  <si>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</si>
  <si>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</si>
  <si>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</si>
  <si>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</si>
  <si>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</si>
  <si>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</si>
  <si>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</si>
  <si>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</si>
  <si>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</si>
  <si>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</si>
  <si>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</si>
  <si>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</si>
  <si>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</si>
  <si>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</si>
  <si>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</si>
  <si>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</si>
  <si>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</si>
  <si>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</si>
  <si>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</si>
  <si>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</si>
  <si>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</si>
  <si>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</si>
  <si>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</si>
  <si>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</si>
  <si>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</si>
  <si>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</si>
  <si>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</si>
  <si>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</si>
  <si>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</si>
  <si>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</si>
  <si>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</si>
  <si>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</si>
  <si>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</si>
  <si>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</si>
  <si>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</si>
  <si>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</si>
  <si>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</si>
  <si>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</si>
  <si>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</si>
  <si>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</si>
  <si>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</si>
  <si>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</si>
  <si>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</si>
  <si>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</si>
  <si>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</si>
  <si>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</si>
  <si>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</si>
  <si>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</si>
  <si>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</si>
  <si>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</si>
  <si>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</si>
  <si>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</si>
  <si>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</si>
  <si>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</si>
  <si>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</si>
  <si>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</si>
  <si>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</si>
  <si>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</si>
  <si>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</si>
  <si>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</si>
  <si>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</si>
  <si>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</si>
  <si>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</si>
  <si>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</si>
  <si>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</si>
  <si>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</si>
  <si>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</si>
  <si>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</si>
  <si>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</si>
  <si>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</si>
  <si>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</si>
  <si>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</si>
  <si>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</si>
  <si>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</si>
  <si>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</si>
  <si>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</si>
  <si>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</si>
  <si>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</si>
  <si>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</si>
  <si>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</si>
  <si>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</si>
  <si>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</si>
  <si>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</si>
  <si>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</si>
  <si>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</si>
  <si>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</si>
  <si>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50727</t>
  </si>
  <si>
    <t>219</t>
  </si>
  <si>
    <t>Humana Medical Plan, Inc.</t>
  </si>
  <si>
    <t>Humana Health Insurance Company of Florida,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</si>
</sst>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188</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K15" sqref="K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8612886</v>
      </c>
      <c r="E5" s="213">
        <f>SUM('Pt 2 Premium and Claims'!E$5,'Pt 2 Premium and Claims'!E$6,-'Pt 2 Premium and Claims'!E$7,-'Pt 2 Premium and Claims'!E$13,'Pt 2 Premium and Claims'!E$14:'Pt 2 Premium and Claims'!E$17)</f>
        <v>10924994.270000001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16962765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-33</v>
      </c>
      <c r="E7" s="217">
        <v>-32.840000000000003</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-85361</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-197764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9824508</v>
      </c>
      <c r="E12" s="213">
        <f>'Pt 2 Premium and Claims'!E$54</f>
        <v>11430095.720999999</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12951281</v>
      </c>
      <c r="AU12" s="214">
        <f>'Pt 2 Premium and Claims'!AU$54</f>
        <v>0</v>
      </c>
      <c r="AV12" s="291"/>
      <c r="AW12" s="296"/>
    </row>
    <row r="13" spans="1:49" ht="25.5" x14ac:dyDescent="0.2">
      <c r="B13" s="239" t="s">
        <v>230</v>
      </c>
      <c r="C13" s="203" t="s">
        <v>37</v>
      </c>
      <c r="D13" s="216">
        <v>2157764</v>
      </c>
      <c r="E13" s="217">
        <v>2165224.73</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68714</v>
      </c>
      <c r="AU13" s="220">
        <v>0</v>
      </c>
      <c r="AV13" s="290"/>
      <c r="AW13" s="297"/>
    </row>
    <row r="14" spans="1:49" ht="25.5" x14ac:dyDescent="0.2">
      <c r="B14" s="239" t="s">
        <v>231</v>
      </c>
      <c r="C14" s="203" t="s">
        <v>6</v>
      </c>
      <c r="D14" s="216">
        <v>262070</v>
      </c>
      <c r="E14" s="217">
        <v>259176.41</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v>
      </c>
      <c r="AU14" s="220">
        <v>0</v>
      </c>
      <c r="AV14" s="290"/>
      <c r="AW14" s="297"/>
    </row>
    <row r="15" spans="1:49" ht="38.25" x14ac:dyDescent="0.2">
      <c r="B15" s="239" t="s">
        <v>232</v>
      </c>
      <c r="C15" s="203" t="s">
        <v>7</v>
      </c>
      <c r="D15" s="216">
        <v>41</v>
      </c>
      <c r="E15" s="217">
        <v>41.31</v>
      </c>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88</v>
      </c>
      <c r="AU15" s="220">
        <v>0</v>
      </c>
      <c r="AV15" s="290"/>
      <c r="AW15" s="297"/>
    </row>
    <row r="16" spans="1:49" ht="25.5" x14ac:dyDescent="0.2">
      <c r="B16" s="239" t="s">
        <v>233</v>
      </c>
      <c r="C16" s="203" t="s">
        <v>61</v>
      </c>
      <c r="D16" s="216">
        <v>-1215862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-208720</v>
      </c>
      <c r="AU16" s="220">
        <v>0</v>
      </c>
      <c r="AV16" s="290"/>
      <c r="AW16" s="297"/>
    </row>
    <row r="17" spans="1:49" x14ac:dyDescent="0.2">
      <c r="B17" s="239" t="s">
        <v>234</v>
      </c>
      <c r="C17" s="203" t="s">
        <v>62</v>
      </c>
      <c r="D17" s="216">
        <v>630699</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9287</v>
      </c>
      <c r="E22" s="222">
        <f>'Pt 2 Premium and Claims'!E$55</f>
        <v>9287.36</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-536006.99</v>
      </c>
      <c r="E25" s="217">
        <v>-536007.05199258821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-228279.86</v>
      </c>
      <c r="AU25" s="220"/>
      <c r="AV25" s="220"/>
      <c r="AW25" s="297"/>
    </row>
    <row r="26" spans="1:49" s="5" customFormat="1" x14ac:dyDescent="0.2">
      <c r="A26" s="35"/>
      <c r="B26" s="242" t="s">
        <v>242</v>
      </c>
      <c r="C26" s="203"/>
      <c r="D26" s="216">
        <v>3944.88</v>
      </c>
      <c r="E26" s="217">
        <v>3944.88</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134523.60999999999</v>
      </c>
      <c r="E27" s="217">
        <v>134523.60999999999</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93723.46</v>
      </c>
      <c r="AU27" s="220"/>
      <c r="AV27" s="293"/>
      <c r="AW27" s="297"/>
    </row>
    <row r="28" spans="1:49" s="5" customFormat="1" x14ac:dyDescent="0.2">
      <c r="A28" s="35"/>
      <c r="B28" s="242" t="s">
        <v>244</v>
      </c>
      <c r="C28" s="203"/>
      <c r="D28" s="216">
        <v>22405.759999999998</v>
      </c>
      <c r="E28" s="217">
        <v>22405.759999999998</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62613.760000000002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-39443.39</v>
      </c>
      <c r="E30" s="217">
        <v>-39443.394851065452</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-9922.7000000000007</v>
      </c>
      <c r="AU30" s="220"/>
      <c r="AV30" s="220"/>
      <c r="AW30" s="297"/>
    </row>
    <row r="31" spans="1:49" x14ac:dyDescent="0.2">
      <c r="B31" s="242" t="s">
        <v>247</v>
      </c>
      <c r="C31" s="203"/>
      <c r="D31" s="216">
        <v>237356.53</v>
      </c>
      <c r="E31" s="217">
        <v>237356.53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448061.24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35253.22</v>
      </c>
      <c r="E34" s="217">
        <v>104555.9</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79495.350000000006</v>
      </c>
      <c r="E35" s="217">
        <v>79495.350000000006</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19116.97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80668</v>
      </c>
      <c r="E37" s="225">
        <v>80668.36</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1662</v>
      </c>
      <c r="AU37" s="226">
        <v>0</v>
      </c>
      <c r="AV37" s="226">
        <v>144992</v>
      </c>
      <c r="AW37" s="296"/>
    </row>
    <row r="38" spans="1:49" x14ac:dyDescent="0.2">
      <c r="B38" s="239" t="s">
        <v>254</v>
      </c>
      <c r="C38" s="203" t="s">
        <v>16</v>
      </c>
      <c r="D38" s="216">
        <v>81829</v>
      </c>
      <c r="E38" s="217">
        <v>81828.800000000003</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v>
      </c>
      <c r="AU38" s="220">
        <v>0</v>
      </c>
      <c r="AV38" s="220">
        <v>191122</v>
      </c>
      <c r="AW38" s="297"/>
    </row>
    <row r="39" spans="1:49" x14ac:dyDescent="0.2">
      <c r="B39" s="242" t="s">
        <v>255</v>
      </c>
      <c r="C39" s="203" t="s">
        <v>17</v>
      </c>
      <c r="D39" s="216">
        <v>21589</v>
      </c>
      <c r="E39" s="217">
        <v>21589.25</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3925</v>
      </c>
      <c r="AU39" s="220">
        <v>0</v>
      </c>
      <c r="AV39" s="220">
        <v>26807</v>
      </c>
      <c r="AW39" s="297"/>
    </row>
    <row r="40" spans="1:49" x14ac:dyDescent="0.2">
      <c r="B40" s="242" t="s">
        <v>256</v>
      </c>
      <c r="C40" s="203" t="s">
        <v>38</v>
      </c>
      <c r="D40" s="216">
        <v>45597</v>
      </c>
      <c r="E40" s="217">
        <v>45596.9</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118613</v>
      </c>
      <c r="AU40" s="220">
        <v>0</v>
      </c>
      <c r="AV40" s="220">
        <v>105747</v>
      </c>
      <c r="AW40" s="297"/>
    </row>
    <row r="41" spans="1:49" s="5" customFormat="1" ht="25.5" x14ac:dyDescent="0.2">
      <c r="A41" s="35"/>
      <c r="B41" s="242" t="s">
        <v>257</v>
      </c>
      <c r="C41" s="203" t="s">
        <v>129</v>
      </c>
      <c r="D41" s="216">
        <v>11288</v>
      </c>
      <c r="E41" s="217">
        <v>11288.24</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35342</v>
      </c>
      <c r="AU41" s="220">
        <v>0</v>
      </c>
      <c r="AV41" s="220">
        <v>124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184694</v>
      </c>
      <c r="E44" s="225">
        <v>184694.28</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126443</v>
      </c>
      <c r="AU44" s="226">
        <v>0</v>
      </c>
      <c r="AV44" s="226">
        <v>25878</v>
      </c>
      <c r="AW44" s="296"/>
    </row>
    <row r="45" spans="1:49" x14ac:dyDescent="0.2">
      <c r="B45" s="245" t="s">
        <v>261</v>
      </c>
      <c r="C45" s="203" t="s">
        <v>19</v>
      </c>
      <c r="D45" s="216">
        <v>82896</v>
      </c>
      <c r="E45" s="217">
        <v>82896.03</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205414</v>
      </c>
      <c r="AU45" s="220">
        <v>0</v>
      </c>
      <c r="AV45" s="220">
        <v>0</v>
      </c>
      <c r="AW45" s="297"/>
    </row>
    <row r="46" spans="1:49" x14ac:dyDescent="0.2">
      <c r="B46" s="245" t="s">
        <v>262</v>
      </c>
      <c r="C46" s="203" t="s">
        <v>20</v>
      </c>
      <c r="D46" s="216">
        <v>40748</v>
      </c>
      <c r="E46" s="217">
        <v>40748.199999999997</v>
      </c>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102546</v>
      </c>
      <c r="AU46" s="220">
        <v>0</v>
      </c>
      <c r="AV46" s="220">
        <v>0</v>
      </c>
      <c r="AW46" s="297"/>
    </row>
    <row r="47" spans="1:49" x14ac:dyDescent="0.2">
      <c r="B47" s="245" t="s">
        <v>263</v>
      </c>
      <c r="C47" s="203" t="s">
        <v>21</v>
      </c>
      <c r="D47" s="216">
        <v>468342</v>
      </c>
      <c r="E47" s="217">
        <v>468341.73</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3246591</v>
      </c>
      <c r="AU47" s="220">
        <v>0</v>
      </c>
      <c r="AV47" s="220">
        <v>1129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-15807.5</v>
      </c>
      <c r="E49" s="217">
        <v>-15807.5</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-5993.24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625806</v>
      </c>
      <c r="E51" s="217">
        <v>625805.71</v>
      </c>
      <c r="F51" s="217"/>
      <c r="G51" s="217"/>
      <c r="H51" s="217"/>
      <c r="I51" s="216"/>
      <c r="J51" s="216">
        <v>0</v>
      </c>
      <c r="K51" s="217">
        <v>0.46</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406663</v>
      </c>
      <c r="AU51" s="220">
        <v>0</v>
      </c>
      <c r="AV51" s="220">
        <v>95390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1249</v>
      </c>
      <c r="E56" s="229">
        <v>1249</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20221</v>
      </c>
      <c r="AU56" s="230">
        <v>0</v>
      </c>
      <c r="AV56" s="230">
        <v>0</v>
      </c>
      <c r="AW56" s="288"/>
    </row>
    <row r="57" spans="2:49" x14ac:dyDescent="0.2">
      <c r="B57" s="245" t="s">
        <v>272</v>
      </c>
      <c r="C57" s="203" t="s">
        <v>25</v>
      </c>
      <c r="D57" s="231">
        <v>1958</v>
      </c>
      <c r="E57" s="232">
        <v>1958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33730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71</v>
      </c>
      <c r="AU58" s="233">
        <v>0</v>
      </c>
      <c r="AV58" s="233">
        <v>0</v>
      </c>
      <c r="AW58" s="289"/>
    </row>
    <row r="59" spans="2:49" x14ac:dyDescent="0.2">
      <c r="B59" s="245" t="s">
        <v>274</v>
      </c>
      <c r="C59" s="203" t="s">
        <v>27</v>
      </c>
      <c r="D59" s="231">
        <v>26776</v>
      </c>
      <c r="E59" s="232">
        <v>26924</v>
      </c>
      <c r="F59" s="232"/>
      <c r="G59" s="232"/>
      <c r="H59" s="232"/>
      <c r="I59" s="231"/>
      <c r="J59" s="231">
        <v>0</v>
      </c>
      <c r="K59" s="232">
        <v>0</v>
      </c>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385028</v>
      </c>
      <c r="AU59" s="233">
        <v>0</v>
      </c>
      <c r="AV59" s="233">
        <v>0</v>
      </c>
      <c r="AW59" s="289"/>
    </row>
    <row r="60" spans="2:49" x14ac:dyDescent="0.2">
      <c r="B60" s="245" t="s">
        <v>275</v>
      </c>
      <c r="C60" s="203"/>
      <c r="D60" s="234">
        <f t="shared" ref="D60:AC60" si="0">D$59/12</f>
        <v>2231.3333333333335</v>
      </c>
      <c r="E60" s="235">
        <f t="shared" si="0"/>
        <v>2243.6666666666665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32085.666666666668</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388" yWindow="5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H37" activePane="bottomRight" state="frozen"/>
      <selection activeCell="B1" sqref="B1"/>
      <selection pane="topRight" activeCell="B1" sqref="B1"/>
      <selection pane="bottomLeft" activeCell="B1" sqref="B1"/>
      <selection pane="bottomRight" activeCell="K43" sqref="K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8609199</v>
      </c>
      <c r="E5" s="326">
        <v>9158641.0700000003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16972867</v>
      </c>
      <c r="AU5" s="327">
        <v>0</v>
      </c>
      <c r="AV5" s="369"/>
      <c r="AW5" s="373"/>
    </row>
    <row r="6" spans="2:49" x14ac:dyDescent="0.2">
      <c r="B6" s="343" t="s">
        <v>278</v>
      </c>
      <c r="C6" s="331" t="s">
        <v>8</v>
      </c>
      <c r="D6" s="318">
        <v>12839</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20679</v>
      </c>
      <c r="AU6" s="321">
        <v>0</v>
      </c>
      <c r="AV6" s="368"/>
      <c r="AW6" s="374"/>
    </row>
    <row r="7" spans="2:49" x14ac:dyDescent="0.2">
      <c r="B7" s="343" t="s">
        <v>279</v>
      </c>
      <c r="C7" s="331" t="s">
        <v>9</v>
      </c>
      <c r="D7" s="318">
        <v>9152</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30781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1722642.99</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43710.21</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-112353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10737409</v>
      </c>
      <c r="E23" s="362"/>
      <c r="F23" s="362"/>
      <c r="G23" s="362"/>
      <c r="H23" s="362"/>
      <c r="I23" s="364"/>
      <c r="J23" s="318">
        <v>197</v>
      </c>
      <c r="K23" s="362"/>
      <c r="L23" s="362"/>
      <c r="M23" s="362"/>
      <c r="N23" s="362"/>
      <c r="O23" s="364"/>
      <c r="P23" s="318">
        <v>6763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13079478</v>
      </c>
      <c r="AU23" s="321">
        <v>0</v>
      </c>
      <c r="AV23" s="368"/>
      <c r="AW23" s="374"/>
    </row>
    <row r="24" spans="2:49" ht="28.5" customHeight="1" x14ac:dyDescent="0.2">
      <c r="B24" s="345" t="s">
        <v>114</v>
      </c>
      <c r="C24" s="331"/>
      <c r="D24" s="365"/>
      <c r="E24" s="319">
        <v>11507480.359999999</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1344964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2002254</v>
      </c>
      <c r="AU26" s="321">
        <v>0</v>
      </c>
      <c r="AV26" s="368"/>
      <c r="AW26" s="374"/>
    </row>
    <row r="27" spans="2:49" s="5" customFormat="1" ht="25.5" x14ac:dyDescent="0.2">
      <c r="B27" s="345" t="s">
        <v>85</v>
      </c>
      <c r="C27" s="331"/>
      <c r="D27" s="365"/>
      <c r="E27" s="319">
        <v>191624.71099999995</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2187020</v>
      </c>
      <c r="E28" s="363"/>
      <c r="F28" s="363"/>
      <c r="G28" s="363"/>
      <c r="H28" s="363"/>
      <c r="I28" s="365"/>
      <c r="J28" s="318">
        <v>748</v>
      </c>
      <c r="K28" s="363"/>
      <c r="L28" s="363"/>
      <c r="M28" s="363"/>
      <c r="N28" s="363"/>
      <c r="O28" s="365"/>
      <c r="P28" s="318">
        <v>6772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2149224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521997</v>
      </c>
      <c r="AU30" s="321">
        <v>0</v>
      </c>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47</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503202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26906</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26905.67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36739</v>
      </c>
      <c r="E36" s="319">
        <v>36738.61</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84440</v>
      </c>
      <c r="E49" s="319">
        <v>259176.41</v>
      </c>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28</v>
      </c>
      <c r="AU49" s="321">
        <v>0</v>
      </c>
      <c r="AV49" s="368"/>
      <c r="AW49" s="374"/>
    </row>
    <row r="50" spans="2:49" x14ac:dyDescent="0.2">
      <c r="B50" s="343" t="s">
        <v>119</v>
      </c>
      <c r="C50" s="331" t="s">
        <v>34</v>
      </c>
      <c r="D50" s="318">
        <v>23428</v>
      </c>
      <c r="E50" s="363"/>
      <c r="F50" s="363"/>
      <c r="G50" s="363"/>
      <c r="H50" s="363"/>
      <c r="I50" s="365"/>
      <c r="J50" s="318">
        <v>598</v>
      </c>
      <c r="K50" s="363"/>
      <c r="L50" s="363"/>
      <c r="M50" s="363"/>
      <c r="N50" s="363"/>
      <c r="O50" s="365"/>
      <c r="P50" s="318">
        <v>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9824508</v>
      </c>
      <c r="E54" s="323">
        <f>E24+E27+E31+E35-E36+E39+E42+E45+E46-E49+E51+E52+E53</f>
        <v>11430095.720999999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12951281</v>
      </c>
      <c r="AU54" s="324">
        <f>AU23+AU26-AU28+AU30-AU32+AU34-AU36+AU38+AU41-AU43+AU45+AU46-AU47-AU49+AU50+AU51+AU52+AU53</f>
        <v>0</v>
      </c>
      <c r="AV54" s="368"/>
      <c r="AW54" s="374"/>
    </row>
    <row r="55" spans="2:49" ht="25.5" x14ac:dyDescent="0.2">
      <c r="B55" s="348" t="s">
        <v>493</v>
      </c>
      <c r="C55" s="335" t="s">
        <v>28</v>
      </c>
      <c r="D55" s="322">
        <f t="shared" ref="D55:AC55" si="0">MIN(MAX(0,D56),MAX(0,D57))</f>
        <v>9287</v>
      </c>
      <c r="E55" s="323">
        <f t="shared" si="0"/>
        <v>9287.36</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13977.13</v>
      </c>
      <c r="E56" s="319">
        <v>13977.13</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9287</v>
      </c>
      <c r="E57" s="319">
        <v>9287.36</v>
      </c>
      <c r="F57" s="319"/>
      <c r="G57" s="319"/>
      <c r="H57" s="319"/>
      <c r="I57" s="318"/>
      <c r="J57" s="318">
        <v>0</v>
      </c>
      <c r="K57" s="319"/>
      <c r="L57" s="319"/>
      <c r="M57" s="319"/>
      <c r="N57" s="319"/>
      <c r="O57" s="318"/>
      <c r="P57" s="318">
        <v>0</v>
      </c>
      <c r="Q57" s="319">
        <v>0.27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514</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032" yWindow="66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3469370.58</v>
      </c>
      <c r="D5" s="403">
        <v>8853343.0600000005</v>
      </c>
      <c r="E5" s="454"/>
      <c r="F5" s="454"/>
      <c r="G5" s="448"/>
      <c r="H5" s="402">
        <v>89099.98</v>
      </c>
      <c r="I5" s="403">
        <v>14000.07</v>
      </c>
      <c r="J5" s="454"/>
      <c r="K5" s="454"/>
      <c r="L5" s="448"/>
      <c r="M5" s="402">
        <v>53265.19</v>
      </c>
      <c r="N5" s="403">
        <v>75570.490000000005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3463806.645</v>
      </c>
      <c r="D6" s="398">
        <v>8579529.2609999999</v>
      </c>
      <c r="E6" s="400">
        <f>SUM('Pt 1 Summary of Data'!E$12,'Pt 1 Summary of Data'!E$22)+SUM('Pt 1 Summary of Data'!G$12,'Pt 1 Summary of Data'!G$22)-SUM('Pt 1 Summary of Data'!H$12,'Pt 1 Summary of Data'!H$22)</f>
        <v>11439383.080999998</v>
      </c>
      <c r="F6" s="400">
        <f t="shared" ref="F6:F11" si="0">SUM(C6:E6)</f>
        <v>23482718.986999996</v>
      </c>
      <c r="G6" s="401">
        <f>SUM('Pt 1 Summary of Data'!I$12,'Pt 1 Summary of Data'!I$22)</f>
        <v>0</v>
      </c>
      <c r="H6" s="397">
        <v>88961.8505</v>
      </c>
      <c r="I6" s="398">
        <v>13892.095600000001</v>
      </c>
      <c r="J6" s="400">
        <f>SUM('Pt 1 Summary of Data'!K$12,'Pt 1 Summary of Data'!K$22)+SUM('Pt 1 Summary of Data'!M$12,'Pt 1 Summary of Data'!M$22)-SUM('Pt 1 Summary of Data'!N$12,'Pt 1 Summary of Data'!N$22)</f>
        <v>0</v>
      </c>
      <c r="K6" s="400">
        <f>SUM(H6:J6)</f>
        <v>102853.9461</v>
      </c>
      <c r="L6" s="401">
        <f>SUM('Pt 1 Summary of Data'!O$12,'Pt 1 Summary of Data'!O$22)</f>
        <v>0</v>
      </c>
      <c r="M6" s="397">
        <v>53195.754322606947</v>
      </c>
      <c r="N6" s="398">
        <v>75465.914127361903</v>
      </c>
      <c r="O6" s="400">
        <f>SUM('Pt 1 Summary of Data'!Q$12,'Pt 1 Summary of Data'!Q$22)+SUM('Pt 1 Summary of Data'!S$12,'Pt 1 Summary of Data'!S$22)-SUM('Pt 1 Summary of Data'!T$12,'Pt 1 Summary of Data'!T$22)</f>
        <v>0</v>
      </c>
      <c r="P6" s="400">
        <f>SUM(M6:O6)</f>
        <v>128661.66844996886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51858.559999999998</v>
      </c>
      <c r="D7" s="398">
        <v>47204.800000000003</v>
      </c>
      <c r="E7" s="400">
        <f>SUM('Pt 1 Summary of Data'!E$37:E$41)+SUM('Pt 1 Summary of Data'!G$37:G$41)-SUM('Pt 1 Summary of Data'!H$37:H$41)+MAX(0,MIN('Pt 1 Summary of Data'!E$42+'Pt 1 Summary of Data'!G$42-'Pt 1 Summary of Data'!H$42,0.3%*('Pt 1 Summary of Data'!E$5+'Pt 1 Summary of Data'!G$5-'Pt 1 Summary of Data'!H$5-SUM(E$9:E$11))))</f>
        <v>240971.55</v>
      </c>
      <c r="F7" s="400">
        <f t="shared" si="0"/>
        <v>340034.91</v>
      </c>
      <c r="G7" s="401">
        <f>SUM('Pt 1 Summary of Data'!I$37:I$41)+MAX(0,MIN(VALUE('Pt 1 Summary of Data'!I$42),0.3%*('Pt 1 Summary of Data'!I$5-SUM(G$9:G$10))))</f>
        <v>0</v>
      </c>
      <c r="H7" s="397">
        <v>3527.01</v>
      </c>
      <c r="I7" s="398">
        <v>1212.82</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4739.83</v>
      </c>
      <c r="L7" s="401">
        <f>SUM('Pt 1 Summary of Data'!O$37:O$41)+MAX(0,MIN(VALUE('Pt 1 Summary of Data'!O$42),0.3%*('Pt 1 Summary of Data'!O$5-L$10)))</f>
        <v>0</v>
      </c>
      <c r="M7" s="397">
        <v>1017.71</v>
      </c>
      <c r="N7" s="398">
        <v>280.95</v>
      </c>
      <c r="O7" s="400">
        <f>SUM('Pt 1 Summary of Data'!Q$37:Q$41)+SUM('Pt 1 Summary of Data'!S$37:S$41)-SUM('Pt 1 Summary of Data'!T$37:T$41)+MAX(0,MIN('Pt 1 Summary of Data'!Q$42+'Pt 1 Summary of Data'!S$42-'Pt 1 Summary of Data'!T$42,0.3%*('Pt 1 Summary of Data'!Q$5+'Pt 1 Summary of Data'!S$5-'Pt 1 Summary of Data'!T$5)))</f>
        <v>0</v>
      </c>
      <c r="P7" s="400">
        <f>SUM(M7:O7)</f>
        <v>1298.6600000000001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2610901.31</v>
      </c>
      <c r="E9" s="400">
        <f>'Pt 2 Premium and Claims'!E$15+'Pt 2 Premium and Claims'!G$15-'Pt 2 Premium and Claims'!H$15</f>
        <v>1722642.99</v>
      </c>
      <c r="F9" s="400">
        <f t="shared" si="0"/>
        <v>4333544.3</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178764.83</v>
      </c>
      <c r="E10" s="400">
        <f>'Pt 2 Premium and Claims'!E$16+'Pt 2 Premium and Claims'!G$16-'Pt 2 Premium and Claims'!H$16</f>
        <v>43710.21</v>
      </c>
      <c r="F10" s="400">
        <f t="shared" si="0"/>
        <v>222475.03999999998</v>
      </c>
      <c r="G10" s="401">
        <f>'Pt 2 Premium and Claims'!I$16</f>
        <v>0</v>
      </c>
      <c r="H10" s="443"/>
      <c r="I10" s="398">
        <v>-11304.8</v>
      </c>
      <c r="J10" s="400">
        <f>'Pt 2 Premium and Claims'!K$16+'Pt 2 Premium and Claims'!M$16-'Pt 2 Premium and Claims'!N$16</f>
        <v>0</v>
      </c>
      <c r="K10" s="400">
        <f>SUM(H10:J10)</f>
        <v>-11304.8</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3515665.2050000001</v>
      </c>
      <c r="D12" s="400">
        <f>SUM(D$6:D$7) - SUM(D$8:D$11)+IF(AND(OR('Company Information'!$C$12="District of Columbia",'Company Information'!$C$12="Massachusetts",'Company Information'!$C$12="Vermont"),SUM($C$6:$F$11,$C$15:$F$16,$C$38:$D$38)&lt;&gt;0),SUM(I$6:I$7) - SUM(I$10:I$11),0)</f>
        <v>5837067.9210000001</v>
      </c>
      <c r="E12" s="400">
        <f>SUM(E$6:E$7)-SUM(E$8:E$11)+IF(AND(OR('Company Information'!$C$12="District of Columbia",'Company Information'!$C$12="Massachusetts",'Company Information'!$C$12="Vermont"),SUM($C$6:$F$11,$C$15:$F$16,$C$38:$D$38)&lt;&gt;0),SUM(J$6:J$7)-SUM(J$10:J$11),0)</f>
        <v>9914001.4309999999</v>
      </c>
      <c r="F12" s="400">
        <f>IFERROR(SUM(C$12:E$12)+C$17*MAX(0,E$50-C$50)+D$17*MAX(0,E$50-D$50),0)</f>
        <v>19266734.557</v>
      </c>
      <c r="G12" s="447"/>
      <c r="H12" s="399">
        <f>SUM(H$6:H$7)+IF(AND(OR('Company Information'!$C$12="District of Columbia",'Company Information'!$C$12="Massachusetts",'Company Information'!$C$12="Vermont"),SUM($H$6:$K$11,$H$15:$K$16,$H$38:$I$38)&lt;&gt;0),SUM(C$6:C$7),0)</f>
        <v>92488.860499999995</v>
      </c>
      <c r="I12" s="400">
        <f>SUM(I$6:I$7) - SUM(I$10:I$11)+IF(AND(OR('Company Information'!$C$12="District of Columbia",'Company Information'!$C$12="Massachusetts",'Company Information'!$C$12="Vermont"),SUM($H$6:$K$11,$H$15:$K$16,$H$38:$I$38)&lt;&gt;0),SUM(D$6:D$7) - SUM(D$8:D$11),0)</f>
        <v>26409.7156</v>
      </c>
      <c r="J12" s="400">
        <f>SUM(J$6:J$7)-SUM(J$10:J$11)+IF(AND(OR('Company Information'!$C$12="District of Columbia",'Company Information'!$C$12="Massachusetts",'Company Information'!$C$12="Vermont"),SUM($H$6:$K$11,$H$15:$K$16,$H$38:$I$38)&lt;&gt;0),SUM(E$6:E$7)-SUM(E$8:E$11),0)</f>
        <v>0</v>
      </c>
      <c r="K12" s="400">
        <f>IFERROR(SUM(H$12:J$12)+H$17*MAX(0,J$50-H$50)+I$17*MAX(0,J$50-I$50),0)</f>
        <v>118898.57609999999</v>
      </c>
      <c r="L12" s="447"/>
      <c r="M12" s="399">
        <f>SUM(M$6:M$7)</f>
        <v>54213.464322606946</v>
      </c>
      <c r="N12" s="400">
        <f>SUM(N$6:N$7)</f>
        <v>75746.8641273619</v>
      </c>
      <c r="O12" s="400">
        <f>SUM(O$6:O$7)</f>
        <v>0</v>
      </c>
      <c r="P12" s="400">
        <f>SUM(M$12:O$12)+M$17*MAX(0,O$50-M$50)+N$17*MAX(0,O$50-N$50)</f>
        <v>129960.32844996885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4135987.32</v>
      </c>
      <c r="D15" s="403">
        <v>6168018.3399999999</v>
      </c>
      <c r="E15" s="395">
        <f>SUM('Pt 1 Summary of Data'!E$5:E$7)+SUM('Pt 1 Summary of Data'!G$5:G$7)-SUM('Pt 1 Summary of Data'!H$5:H$7)-SUM(E$9:E$11)</f>
        <v>9158608.2300000023</v>
      </c>
      <c r="F15" s="395">
        <f>SUM(C15:E15)</f>
        <v>19462613.890000001</v>
      </c>
      <c r="G15" s="396">
        <f>SUM('Pt 1 Summary of Data'!I$5:I$7)-SUM(G$9:G$10)</f>
        <v>0</v>
      </c>
      <c r="H15" s="402">
        <v>162710.39000000001</v>
      </c>
      <c r="I15" s="403">
        <v>55143.01</v>
      </c>
      <c r="J15" s="395">
        <f>SUM('Pt 1 Summary of Data'!K$5:K$7)+SUM('Pt 1 Summary of Data'!M$5:M$7)-SUM('Pt 1 Summary of Data'!N$5:N$7)-SUM(J$10:J$11)</f>
        <v>0</v>
      </c>
      <c r="K15" s="395">
        <f>SUM(H15:J15)</f>
        <v>217853.40000000002</v>
      </c>
      <c r="L15" s="396">
        <f>SUM('Pt 1 Summary of Data'!O$5:O$7)-L$10</f>
        <v>0</v>
      </c>
      <c r="M15" s="402">
        <v>60885.78</v>
      </c>
      <c r="N15" s="403">
        <v>97617.96</v>
      </c>
      <c r="O15" s="395">
        <f>SUM('Pt 1 Summary of Data'!Q$5:Q$7)+SUM('Pt 1 Summary of Data'!S$5:S$7)-SUM('Pt 1 Summary of Data'!T$5:T$7)+N$56</f>
        <v>0</v>
      </c>
      <c r="P15" s="395">
        <f>SUM(M15:O15)</f>
        <v>158503.74</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-40270.49</v>
      </c>
      <c r="D16" s="398">
        <v>-447969.08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6831.5831563463435</v>
      </c>
      <c r="F16" s="400">
        <f>SUM(C16:E16)</f>
        <v>-481407.98684365366</v>
      </c>
      <c r="G16" s="401">
        <f>SUM('Pt 1 Summary of Data'!I$25:I$28,'Pt 1 Summary of Data'!I$30,'Pt 1 Summary of Data'!I$34:I$35)+IF('Company Information'!$C$15="No",IF(MAX('Pt 1 Summary of Data'!I$31:I$32)=0,MIN('Pt 1 Summary of Data'!I$31:I$32),MAX('Pt 1 Summary of Data'!I$31:I$32)),SUM('Pt 1 Summary of Data'!I$31:I$32))</f>
        <v>0</v>
      </c>
      <c r="H16" s="397">
        <v>10933</v>
      </c>
      <c r="I16" s="398">
        <v>33257.03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44190.03</v>
      </c>
      <c r="L16" s="401">
        <f>SUM('Pt 1 Summary of Data'!O$25:O$28,'Pt 1 Summary of Data'!O$30,'Pt 1 Summary of Data'!O$34:O$35)+IF('Company Information'!$C$15="No",IF(MAX('Pt 1 Summary of Data'!O$31:O$32)=0,MIN('Pt 1 Summary of Data'!O$31:O$32),MAX('Pt 1 Summary of Data'!O$31:O$32)),SUM('Pt 1 Summary of Data'!O$31:O$32))</f>
        <v>0</v>
      </c>
      <c r="M16" s="397">
        <v>469.26</v>
      </c>
      <c r="N16" s="398">
        <v>-2533.52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-2064.2600000000002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4176257.81</v>
      </c>
      <c r="D17" s="400">
        <f>D$15-D$16+IF(AND(OR('Company Information'!$C$12="District of Columbia",'Company Information'!$C$12="Massachusetts",'Company Information'!$C$12="Vermont"),SUM($C$6:$F$11,$C$15:$F$16,$C$38:$D$38)&lt;&gt;0),I$15-I$16,0)</f>
        <v>6615987.4199999999</v>
      </c>
      <c r="E17" s="400">
        <f>E$15-E$16+IF(AND(OR('Company Information'!$C$12="District of Columbia",'Company Information'!$C$12="Massachusetts",'Company Information'!$C$12="Vermont"),SUM($C$6:$F$11,$C$15:$F$16,$C$38:$D$38)&lt;&gt;0),J$15-J$16,0)</f>
        <v>9151776.6468436569</v>
      </c>
      <c r="F17" s="400">
        <f>F$15-F$16+IF(AND(OR('Company Information'!$C$12="District of Columbia",'Company Information'!$C$12="Massachusetts",'Company Information'!$C$12="Vermont"),SUM($C$6:$F$11,$C$15:$F$16,$C$38:$D$38)&lt;&gt;0),K$15-K$16,0)</f>
        <v>19944021.876843654</v>
      </c>
      <c r="G17" s="450"/>
      <c r="H17" s="399">
        <f>H$15-H$16+IF(AND(OR('Company Information'!$C$12="District of Columbia",'Company Information'!$C$12="Massachusetts",'Company Information'!$C$12="Vermont"),SUM($H$6:$K$11,$H$15:$K$16,$H$38:$I$38)&lt;&gt;0),C$15-C$16,0)</f>
        <v>151777.39000000001</v>
      </c>
      <c r="I17" s="400">
        <f>I$15-I$16+IF(AND(OR('Company Information'!$C$12="District of Columbia",'Company Information'!$C$12="Massachusetts",'Company Information'!$C$12="Vermont"),SUM($H$6:$K$11,$H$15:$K$16,$H$38:$I$38)&lt;&gt;0),D$15-D$16,0)</f>
        <v>21885.980000000003</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173663.37000000002</v>
      </c>
      <c r="L17" s="450"/>
      <c r="M17" s="399">
        <f>M$15-M$16</f>
        <v>60416.52</v>
      </c>
      <c r="N17" s="400">
        <f>N$15-N$16</f>
        <v>100151.48000000001</v>
      </c>
      <c r="O17" s="400">
        <f>O$15-O$16</f>
        <v>0</v>
      </c>
      <c r="P17" s="400">
        <f>P$15-P$16</f>
        <v>160568</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1861</v>
      </c>
      <c r="D38" s="405">
        <v>1837.08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2243.6666666666665</v>
      </c>
      <c r="F38" s="432">
        <f>SUM(C$38:E$38)+IF(AND(OR('Company Information'!$C$12="District of Columbia",'Company Information'!$C$12="Massachusetts",'Company Information'!$C$12="Vermont"),SUM($C$6:$F$11,$C$15:$F$16,$C$38:$D$38)&lt;&gt;0,SUM(C$38:D$38)&lt;&gt;SUM(H$38:I$38)),SUM(H$38:I$38),0)</f>
        <v>5941.746666666666</v>
      </c>
      <c r="G38" s="448"/>
      <c r="H38" s="404">
        <v>10</v>
      </c>
      <c r="I38" s="405">
        <v>6.25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16.25</v>
      </c>
      <c r="L38" s="448"/>
      <c r="M38" s="404">
        <v>9</v>
      </c>
      <c r="N38" s="405">
        <v>8.08</v>
      </c>
      <c r="O38" s="432">
        <f>('Pt 1 Summary of Data'!Q$59+'Pt 1 Summary of Data'!S$59-'Pt 1 Summary of Data'!T$59)/12</f>
        <v>0</v>
      </c>
      <c r="P38" s="432">
        <f>SUM(M$38:O$38)</f>
        <v>17.079999999999998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3.4928157333333334E-2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7381</v>
      </c>
      <c r="G40" s="447"/>
      <c r="H40" s="443"/>
      <c r="I40" s="441"/>
      <c r="J40" s="441"/>
      <c r="K40" s="398">
        <v>2125</v>
      </c>
      <c r="L40" s="447"/>
      <c r="M40" s="443"/>
      <c r="N40" s="441"/>
      <c r="O40" s="441"/>
      <c r="P40" s="398">
        <v>3546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1.5610507999999998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1.2635791999999999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5.4524627947725862E-2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0.84182188096285182</v>
      </c>
      <c r="D45" s="436">
        <f>IF(OR(D$38&lt;1000,D$17&lt;=0),"",D$12/D$17)</f>
        <v>0.88226708281739752</v>
      </c>
      <c r="E45" s="436">
        <f>IF(OR(E$38&lt;1000,E$17&lt;=0),"",E$12/E$17)</f>
        <v>1.0832870833248782</v>
      </c>
      <c r="F45" s="436">
        <f>IF(OR(F$38&lt;1000,F$17&lt;=0),"",F$12/F$17)</f>
        <v>0.96604058479147425</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5.4524627947725862E-2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1.0209999999999999</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1.0209999999999999</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9151776.6468436569</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12788.11054</v>
      </c>
      <c r="D56" s="441"/>
      <c r="E56" s="441"/>
      <c r="F56" s="441"/>
      <c r="G56" s="447"/>
      <c r="H56" s="397"/>
      <c r="I56" s="441"/>
      <c r="J56" s="441"/>
      <c r="K56" s="441"/>
      <c r="L56" s="447"/>
      <c r="M56" s="397">
        <v>485.82148009999997</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-124.50750739999999</v>
      </c>
      <c r="D57" s="441"/>
      <c r="E57" s="441"/>
      <c r="F57" s="441"/>
      <c r="G57" s="447"/>
      <c r="H57" s="397"/>
      <c r="I57" s="441"/>
      <c r="J57" s="441"/>
      <c r="K57" s="441"/>
      <c r="L57" s="447"/>
      <c r="M57" s="397">
        <v>3.7439929890000001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1249</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