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C22" i="4" s="1"/>
  <c r="AB55" i="18"/>
  <c r="AA55" i="18"/>
  <c r="AA22" i="4" s="1"/>
  <c r="Z55" i="18"/>
  <c r="Y55" i="18"/>
  <c r="X55" i="18"/>
  <c r="X22" i="4" s="1"/>
  <c r="W55" i="18"/>
  <c r="W22" i="4" s="1"/>
  <c r="V55" i="18"/>
  <c r="V22" i="4" s="1"/>
  <c r="U55" i="18"/>
  <c r="T55" i="18"/>
  <c r="T22" i="4" s="1"/>
  <c r="S55" i="18"/>
  <c r="S22" i="4" s="1"/>
  <c r="R55" i="18"/>
  <c r="R22" i="4" s="1"/>
  <c r="Q55" i="18"/>
  <c r="Q22" i="4" s="1"/>
  <c r="P55" i="18"/>
  <c r="O55" i="18"/>
  <c r="O22" i="4" s="1"/>
  <c r="N55" i="18"/>
  <c r="N22" i="4" s="1"/>
  <c r="M55" i="18"/>
  <c r="M22" i="4" s="1"/>
  <c r="L55" i="18"/>
  <c r="L22" i="4" s="1"/>
  <c r="K55" i="18"/>
  <c r="K22" i="4" s="1"/>
  <c r="J55" i="18"/>
  <c r="J22" i="4" s="1"/>
  <c r="I55" i="18"/>
  <c r="I22" i="4" s="1"/>
  <c r="H55" i="18"/>
  <c r="G55" i="18"/>
  <c r="F55" i="18"/>
  <c r="F22" i="4" s="1"/>
  <c r="E55" i="18"/>
  <c r="E22" i="4" s="1"/>
  <c r="D55" i="18"/>
  <c r="AU54" i="18"/>
  <c r="AT54" i="18"/>
  <c r="AS54" i="18"/>
  <c r="AC54" i="18"/>
  <c r="AC12" i="4" s="1"/>
  <c r="AB54" i="18"/>
  <c r="AB12" i="4" s="1"/>
  <c r="AA54" i="18"/>
  <c r="Z54" i="18"/>
  <c r="Z12" i="4" s="1"/>
  <c r="Y54" i="18"/>
  <c r="Y12" i="4" s="1"/>
  <c r="X54" i="18"/>
  <c r="X12" i="4" s="1"/>
  <c r="W54" i="18"/>
  <c r="W12" i="4" s="1"/>
  <c r="V54" i="18"/>
  <c r="V12" i="4" s="1"/>
  <c r="U54" i="18"/>
  <c r="U12" i="4" s="1"/>
  <c r="T54" i="18"/>
  <c r="T12" i="4" s="1"/>
  <c r="S54" i="18"/>
  <c r="S12" i="4" s="1"/>
  <c r="R54" i="18"/>
  <c r="R12" i="4" s="1"/>
  <c r="Q54" i="18"/>
  <c r="P54" i="18"/>
  <c r="P12" i="4" s="1"/>
  <c r="O54" i="18"/>
  <c r="O12" i="4" s="1"/>
  <c r="N54" i="18"/>
  <c r="N12" i="4" s="1"/>
  <c r="M54" i="18"/>
  <c r="M12" i="4" s="1"/>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B22" i="4"/>
  <c r="Z22" i="4"/>
  <c r="Y22" i="4"/>
  <c r="U22" i="4"/>
  <c r="P22" i="4"/>
  <c r="H22" i="4"/>
  <c r="G22" i="4"/>
  <c r="D22" i="4"/>
  <c r="AU12" i="4"/>
  <c r="AT12" i="4"/>
  <c r="AS12" i="4"/>
  <c r="AA12" i="4"/>
  <c r="Q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G15" i="10"/>
  <c r="G32" i="10" s="1"/>
  <c r="J7" i="10"/>
  <c r="K7" i="10"/>
  <c r="F15" i="10"/>
  <c r="E7" i="10"/>
  <c r="J15" i="10"/>
  <c r="G24" i="10"/>
  <c r="G19" i="10"/>
  <c r="G23" i="10"/>
  <c r="G27" i="10"/>
  <c r="G20" i="10"/>
  <c r="L29" i="10"/>
  <c r="L33" i="10" s="1"/>
  <c r="L34" i="10" s="1"/>
  <c r="AB39" i="10"/>
  <c r="P42" i="10"/>
  <c r="P47" i="10" s="1"/>
  <c r="P48" i="10" s="1"/>
  <c r="P51" i="10" s="1"/>
  <c r="P53" i="10" s="1"/>
  <c r="E11" i="16" s="1"/>
  <c r="L21" i="10"/>
  <c r="L26" i="10" s="1"/>
  <c r="L25" i="10" s="1"/>
  <c r="L28" i="10" s="1"/>
  <c r="X13" i="10"/>
  <c r="T13" i="10"/>
  <c r="F7" i="10" l="1"/>
  <c r="E17" i="10" s="1"/>
  <c r="C17" i="10"/>
  <c r="E12" i="10"/>
  <c r="E38" i="10"/>
  <c r="D12" i="10"/>
  <c r="D17" i="10"/>
  <c r="D45" i="10" s="1"/>
  <c r="C12" i="10"/>
  <c r="K15" i="10"/>
  <c r="J17" i="10" s="1"/>
  <c r="F17" i="10"/>
  <c r="G22" i="10"/>
  <c r="J12" i="10" l="1"/>
  <c r="I12" i="10"/>
  <c r="J38" i="10"/>
  <c r="J45" i="10" s="1"/>
  <c r="C45" i="10"/>
  <c r="F12" i="10"/>
  <c r="K17" i="10"/>
  <c r="H17" i="10"/>
  <c r="H12" i="10"/>
  <c r="E45" i="10"/>
  <c r="F38" i="10"/>
  <c r="I17" i="10"/>
  <c r="I45" i="10" s="1"/>
  <c r="G21" i="10"/>
  <c r="G26" i="10" s="1"/>
  <c r="G25" i="10" s="1"/>
  <c r="G28" i="10" s="1"/>
  <c r="G30" i="10"/>
  <c r="G31" i="10" s="1"/>
  <c r="G29" i="10" s="1"/>
  <c r="G33" i="10" s="1"/>
  <c r="G34" i="10" s="1"/>
  <c r="K38" i="10" l="1"/>
  <c r="K42" i="10" s="1"/>
  <c r="K12" i="10"/>
  <c r="F45" i="10"/>
  <c r="H45" i="10"/>
  <c r="K52" i="10"/>
  <c r="F39" i="10"/>
  <c r="F42" i="10" s="1"/>
  <c r="F52" i="10"/>
  <c r="K39" i="10" l="1"/>
  <c r="K45" i="10"/>
  <c r="F47" i="10"/>
  <c r="F48" i="10" s="1"/>
  <c r="F51" i="10" s="1"/>
  <c r="F53" i="10" s="1"/>
  <c r="C11" i="16" s="1"/>
  <c r="K47" i="10"/>
  <c r="K48" i="10" s="1"/>
  <c r="K51" i="10" s="1"/>
  <c r="K53" i="10" s="1"/>
  <c r="D11" i="16"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<sst xmlns="http://schemas.openxmlformats.org/spreadsheetml/2006/main" count="572" uniqueCount="511">
  <si>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</si>
  <si>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</si>
  <si>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</si>
  <si>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</si>
  <si>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</si>
  <si>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</si>
  <si>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</si>
  <si>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</si>
  <si>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</si>
  <si>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</si>
  <si>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</si>
  <si>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</si>
  <si>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</si>
  <si>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</si>
  <si>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</si>
  <si>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</si>
  <si>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</si>
  <si>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</si>
  <si>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</si>
  <si>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</si>
  <si>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</si>
  <si>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</si>
  <si>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</si>
  <si>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</si>
  <si>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</si>
  <si>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</si>
  <si>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</si>
  <si>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</si>
  <si>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</si>
  <si>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</si>
  <si>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</si>
  <si>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</si>
  <si>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</si>
  <si>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</si>
  <si>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</si>
  <si>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</si>
  <si>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</si>
  <si>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</si>
  <si>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</si>
  <si>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</si>
  <si>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</si>
  <si>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</si>
  <si>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</si>
  <si>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</si>
  <si>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</si>
  <si>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</si>
  <si>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</si>
  <si>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</si>
  <si>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</si>
  <si>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</si>
  <si>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</si>
  <si>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</si>
  <si>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</si>
  <si>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</si>
  <si>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</si>
  <si>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</si>
  <si>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</si>
  <si>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</si>
  <si>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</si>
  <si>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</si>
  <si>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</si>
  <si>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</si>
  <si>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</si>
  <si>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</si>
  <si>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</si>
  <si>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</si>
  <si>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</si>
  <si>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</si>
  <si>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</si>
  <si>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</si>
  <si>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</si>
  <si>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</si>
  <si>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</si>
  <si>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</si>
  <si>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</si>
  <si>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</si>
  <si>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</si>
  <si>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</si>
  <si>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</si>
  <si>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</si>
  <si>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</si>
  <si>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</si>
  <si>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</si>
  <si>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</si>
  <si>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</si>
  <si>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</si>
  <si>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</si>
  <si>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</si>
  <si>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</si>
  <si>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</si>
  <si>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</si>
  <si>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</si>
  <si>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</si>
  <si>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</si>
  <si>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</si>
  <si>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</si>
  <si>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</si>
  <si>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</si>
  <si>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</si>
  <si>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</si>
  <si>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</si>
  <si>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</si>
  <si>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</si>
  <si>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</si>
  <si>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</si>
  <si>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</si>
  <si>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</si>
  <si>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</si>
  <si>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</si>
  <si>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</si>
  <si>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</si>
  <si>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</si>
  <si>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</si>
  <si>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</si>
  <si>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</si>
  <si>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</si>
  <si>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</si>
  <si>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</si>
  <si>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</si>
  <si>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</si>
  <si>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</si>
  <si>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</si>
  <si>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</si>
  <si>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</si>
  <si>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</si>
  <si>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</si>
  <si>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</si>
  <si>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</si>
  <si>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</si>
  <si>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</si>
  <si>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</si>
  <si>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</si>
  <si>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</si>
  <si>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</si>
  <si>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</si>
  <si>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</si>
  <si>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</si>
  <si>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</si>
  <si>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</si>
  <si>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</si>
  <si>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</si>
  <si>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</si>
  <si>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</si>
  <si>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</si>
  <si>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</si>
  <si>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</si>
  <si>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</si>
  <si>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</si>
  <si>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</si>
  <si>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</si>
  <si>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</si>
  <si>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</si>
  <si>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</si>
  <si>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</si>
  <si>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</si>
  <si>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</si>
  <si>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</si>
  <si>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</si>
  <si>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</si>
  <si>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</si>
  <si>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</si>
  <si>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</si>
  <si>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</si>
  <si>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</si>
  <si>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</si>
  <si>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</si>
  <si>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</si>
  <si>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</si>
  <si>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</si>
  <si>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</si>
  <si>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</si>
  <si>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</si>
  <si>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</si>
  <si>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</si>
  <si>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</si>
  <si>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</si>
  <si>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</si>
  <si>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</si>
  <si>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</si>
  <si>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</si>
  <si>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</si>
  <si>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</si>
  <si>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</si>
  <si>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</si>
  <si>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</si>
  <si>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</si>
  <si>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</si>
  <si>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</si>
  <si>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</si>
  <si>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</si>
  <si>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</si>
  <si>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</si>
  <si>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</si>
  <si>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</si>
  <si>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</si>
  <si>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</si>
  <si>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</si>
  <si>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</si>
  <si>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</si>
  <si>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</si>
  <si>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</si>
  <si>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</si>
  <si>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</si>
  <si>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</si>
  <si>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</si>
  <si>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</si>
  <si>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</si>
  <si>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</si>
  <si>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</si>
  <si>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</si>
  <si>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</si>
  <si>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</si>
  <si>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</si>
  <si>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</si>
  <si>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</si>
  <si>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</si>
  <si>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</si>
  <si>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</si>
  <si>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</si>
  <si>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</si>
  <si>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</si>
  <si>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</si>
  <si>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</si>
  <si>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</si>
  <si>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</si>
  <si>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</si>
  <si>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</si>
  <si>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</si>
  <si>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</si>
  <si>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</si>
  <si>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</si>
  <si>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</si>
  <si>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</si>
  <si>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</si>
  <si>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</si>
  <si>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</si>
  <si>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</si>
  <si>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</si>
  <si>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</si>
  <si>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</si>
  <si>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</si>
  <si>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</si>
  <si>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</si>
  <si>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</si>
  <si>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</si>
  <si>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</si>
  <si>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</si>
  <si>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</si>
  <si>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</si>
  <si>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</si>
  <si>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</si>
  <si>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</si>
  <si>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</si>
  <si>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</si>
  <si>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</si>
  <si>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</si>
  <si>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</si>
  <si>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</si>
  <si>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</si>
  <si>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</si>
  <si>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</si>
  <si>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</si>
  <si>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</si>
  <si>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</si>
  <si>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</si>
  <si>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</si>
  <si>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</si>
  <si>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</si>
  <si>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</si>
  <si>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</si>
  <si>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</si>
  <si>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</si>
  <si>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</si>
  <si>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</si>
  <si>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</si>
  <si>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</si>
  <si>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</si>
  <si>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</si>
  <si>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</si>
  <si>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</si>
  <si>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</si>
  <si>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</si>
  <si>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</si>
  <si>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</si>
  <si>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</si>
  <si>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</si>
  <si>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</si>
  <si>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</si>
  <si>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</si>
  <si>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</si>
  <si>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</si>
  <si>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</si>
  <si>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</si>
  <si>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</si>
  <si>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</si>
  <si>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</si>
  <si>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</si>
  <si>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</si>
  <si>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</si>
  <si>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</si>
  <si>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</si>
  <si>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</si>
  <si>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</si>
  <si>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</si>
  <si>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</si>
  <si>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</si>
  <si>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</si>
  <si>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</si>
  <si>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</si>
  <si>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</si>
  <si>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</si>
  <si>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</si>
  <si>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</si>
  <si>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</si>
  <si>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</si>
  <si>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</si>
  <si>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</si>
  <si>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</si>
  <si>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</si>
  <si>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</si>
  <si>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</si>
  <si>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</si>
  <si>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</si>
  <si>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</si>
  <si>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</si>
  <si>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</si>
  <si>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</si>
  <si>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</si>
  <si>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</si>
  <si>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</si>
  <si>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</si>
  <si>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</si>
  <si>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</si>
  <si>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</si>
  <si>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</si>
  <si>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</si>
  <si>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</si>
  <si>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</si>
  <si>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</si>
  <si>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</si>
  <si>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</si>
  <si>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</si>
  <si>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</si>
  <si>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</si>
  <si>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</si>
  <si>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</si>
  <si>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</si>
  <si>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</si>
  <si>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</si>
  <si>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</si>
  <si>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</si>
  <si>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</si>
  <si>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</si>
  <si>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</si>
  <si>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</si>
  <si>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</si>
  <si>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</si>
  <si>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</si>
  <si>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</si>
  <si>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</si>
  <si>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</si>
  <si>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</si>
  <si>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</si>
  <si>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</si>
  <si>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</si>
  <si>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</si>
  <si>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</si>
  <si>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</si>
  <si>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</si>
  <si>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</si>
  <si>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</si>
  <si>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</si>
  <si>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</si>
  <si>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</si>
  <si>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</si>
  <si>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</si>
  <si>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</si>
  <si>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</si>
  <si>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</si>
  <si>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</si>
  <si>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</si>
  <si>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</si>
  <si>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</si>
  <si>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</si>
  <si>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</si>
  <si>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</si>
  <si>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</si>
  <si>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</si>
  <si>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</si>
  <si>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</si>
  <si>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</si>
  <si>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</si>
  <si>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</si>
  <si>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</si>
  <si>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</si>
  <si>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</si>
  <si>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</si>
  <si>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</si>
  <si>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</si>
  <si>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</si>
  <si>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</si>
  <si>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</si>
  <si>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</si>
  <si>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</si>
  <si>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</si>
  <si>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</si>
  <si>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</si>
  <si>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</si>
  <si>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</si>
  <si>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</si>
  <si>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</si>
  <si>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</si>
  <si>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</si>
  <si>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</si>
  <si>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</si>
  <si>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</si>
  <si>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</si>
  <si>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</si>
  <si>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</si>
  <si>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</si>
  <si>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</si>
  <si>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</si>
  <si>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</si>
  <si>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</si>
  <si>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</si>
  <si>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</si>
  <si>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</si>
  <si>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</si>
  <si>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</si>
  <si>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</si>
  <si>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</si>
  <si>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</si>
  <si>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</si>
  <si>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</si>
  <si>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</si>
  <si>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</si>
  <si>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</si>
  <si>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</si>
  <si>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</si>
  <si>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</si>
  <si>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</si>
  <si>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</si>
  <si>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</si>
  <si>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</si>
  <si>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</si>
  <si>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</si>
  <si>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</si>
  <si>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</si>
  <si>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</si>
  <si>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</si>
  <si>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</si>
  <si>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</si>
  <si>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</si>
  <si>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</si>
  <si>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</si>
  <si>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</si>
  <si>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</si>
  <si>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</si>
  <si>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</si>
  <si>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</si>
  <si>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</si>
  <si>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</si>
  <si>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</si>
  <si>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</si>
  <si>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</si>
  <si>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</si>
  <si>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</si>
  <si>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</si>
  <si>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</si>
  <si>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</si>
  <si>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</si>
  <si>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</si>
  <si>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</si>
  <si>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</si>
  <si>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</si>
  <si>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</si>
  <si>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</si>
  <si>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</si>
  <si>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</si>
  <si>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</si>
  <si>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</si>
  <si>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</si>
  <si>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</si>
  <si>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</si>
  <si>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</si>
  <si>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</si>
  <si>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</si>
  <si>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</si>
  <si>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</si>
  <si>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</si>
  <si>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</si>
  <si>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</si>
  <si>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</si>
  <si>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</si>
  <si>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</si>
  <si>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</si>
  <si>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</si>
  <si>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</si>
  <si>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</si>
  <si>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</si>
  <si>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</si>
  <si>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</si>
  <si>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</si>
  <si>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</si>
  <si>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</si>
  <si>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91604</t>
  </si>
  <si>
    <t>219</t>
  </si>
  <si>
    <t>Humana Wisconsin Health Organization Insurance Corporation</t>
  </si>
  <si>
    <t>Humana Employers Health Plan of Georgia, Inc.</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</si>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</sst>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26092498</v>
      </c>
      <c r="E5" s="213">
        <f>SUM('Pt 2 Premium and Claims'!E$5,'Pt 2 Premium and Claims'!E$6,-'Pt 2 Premium and Claims'!E$7,-'Pt 2 Premium and Claims'!E$13,'Pt 2 Premium and Claims'!E$14:'Pt 2 Premium and Claims'!E$17)</f>
        <v>24264926.82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129570984</v>
      </c>
      <c r="K5" s="213">
        <f>SUM('Pt 2 Premium and Claims'!K$5,'Pt 2 Premium and Claims'!K$6,-'Pt 2 Premium and Claims'!K$7,-'Pt 2 Premium and Claims'!K$13,'Pt 2 Premium and Claims'!K$14,'Pt 2 Premium and Claims'!K$16:'Pt 2 Premium and Claims'!K$17)</f>
        <v>116408929.18033971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102410063</v>
      </c>
      <c r="Q5" s="213">
        <f>SUM('Pt 2 Premium and Claims'!Q$5,'Pt 2 Premium and Claims'!Q$6,-'Pt 2 Premium and Claims'!Q$7,-'Pt 2 Premium and Claims'!Q$13,'Pt 2 Premium and Claims'!Q$14)</f>
        <v>96147477.213184699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34530561</v>
      </c>
      <c r="AU5" s="214">
        <f>SUM('Pt 2 Premium and Claims'!AU$5,'Pt 2 Premium and Claims'!AU$6,-'Pt 2 Premium and Claims'!AU$7,-'Pt 2 Premium and Claims'!AU$13,'Pt 2 Premium and Claims'!AU$14)</f>
        <v>20114468303</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-406</v>
      </c>
      <c r="E7" s="217">
        <v>-405.96</v>
      </c>
      <c r="F7" s="217"/>
      <c r="G7" s="217"/>
      <c r="H7" s="217"/>
      <c r="I7" s="216"/>
      <c r="J7" s="216">
        <v>-3983</v>
      </c>
      <c r="K7" s="217">
        <v>-3713.96</v>
      </c>
      <c r="L7" s="217"/>
      <c r="M7" s="217"/>
      <c r="N7" s="217"/>
      <c r="O7" s="216"/>
      <c r="P7" s="216">
        <v>-4034</v>
      </c>
      <c r="Q7" s="217">
        <v>-3591.04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-1240</v>
      </c>
      <c r="AU7" s="220">
        <v>-2</v>
      </c>
      <c r="AV7" s="290"/>
      <c r="AW7" s="297"/>
    </row>
    <row r="8" spans="1:49" ht="25.5" x14ac:dyDescent="0.2">
      <c r="B8" s="239" t="s">
        <v>225</v>
      </c>
      <c r="C8" s="203" t="s">
        <v>59</v>
      </c>
      <c r="D8" s="216">
        <v>-111778</v>
      </c>
      <c r="E8" s="268"/>
      <c r="F8" s="269"/>
      <c r="G8" s="269"/>
      <c r="H8" s="269"/>
      <c r="I8" s="272"/>
      <c r="J8" s="216">
        <v>-207471</v>
      </c>
      <c r="K8" s="268"/>
      <c r="L8" s="269"/>
      <c r="M8" s="269"/>
      <c r="N8" s="269"/>
      <c r="O8" s="272"/>
      <c r="P8" s="216">
        <v>-127854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-501437</v>
      </c>
      <c r="AU8" s="220">
        <v>-17356727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16814368</v>
      </c>
      <c r="E12" s="213">
        <f>'Pt 2 Premium and Claims'!E$54</f>
        <v>16382088.936000001</v>
      </c>
      <c r="F12" s="213">
        <f>'Pt 2 Premium and Claims'!F$54</f>
        <v>0</v>
      </c>
      <c r="G12" s="213">
        <f>'Pt 2 Premium and Claims'!G$54</f>
        <v>0</v>
      </c>
      <c r="H12" s="213">
        <f>'Pt 2 Premium and Claims'!H$54</f>
        <v>0</v>
      </c>
      <c r="I12" s="212">
        <f>'Pt 2 Premium and Claims'!I$54</f>
        <v>0</v>
      </c>
      <c r="J12" s="212">
        <f>'Pt 2 Premium and Claims'!J$54</f>
        <v>94318411</v>
      </c>
      <c r="K12" s="213">
        <f>'Pt 2 Premium and Claims'!K$54</f>
        <v>86630883.164077789</v>
      </c>
      <c r="L12" s="213">
        <f>'Pt 2 Premium and Claims'!L$54</f>
        <v>0</v>
      </c>
      <c r="M12" s="213">
        <f>'Pt 2 Premium and Claims'!M$54</f>
        <v>0</v>
      </c>
      <c r="N12" s="213">
        <f>'Pt 2 Premium and Claims'!N$54</f>
        <v>0</v>
      </c>
      <c r="O12" s="212">
        <f>'Pt 2 Premium and Claims'!O$54</f>
        <v>0</v>
      </c>
      <c r="P12" s="212">
        <f>'Pt 2 Premium and Claims'!P$54</f>
        <v>86039159</v>
      </c>
      <c r="Q12" s="213">
        <f>'Pt 2 Premium and Claims'!Q$54</f>
        <v>78924648.996074736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22975796</v>
      </c>
      <c r="AU12" s="214">
        <f>'Pt 2 Premium and Claims'!AU$54</f>
        <v>16933838831</v>
      </c>
      <c r="AV12" s="291"/>
      <c r="AW12" s="296"/>
    </row>
    <row r="13" spans="1:49" ht="25.5" x14ac:dyDescent="0.2">
      <c r="B13" s="239" t="s">
        <v>230</v>
      </c>
      <c r="C13" s="203" t="s">
        <v>37</v>
      </c>
      <c r="D13" s="216">
        <v>3272892</v>
      </c>
      <c r="E13" s="217">
        <v>3246710.72</v>
      </c>
      <c r="F13" s="217"/>
      <c r="G13" s="268"/>
      <c r="H13" s="269"/>
      <c r="I13" s="216"/>
      <c r="J13" s="216">
        <v>14830007</v>
      </c>
      <c r="K13" s="217">
        <v>14105814.002261208</v>
      </c>
      <c r="L13" s="217"/>
      <c r="M13" s="268"/>
      <c r="N13" s="269"/>
      <c r="O13" s="216"/>
      <c r="P13" s="216">
        <v>11771207</v>
      </c>
      <c r="Q13" s="217">
        <v>12352300.470460448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64715</v>
      </c>
      <c r="AU13" s="220">
        <v>6171524280</v>
      </c>
      <c r="AV13" s="290"/>
      <c r="AW13" s="297"/>
    </row>
    <row r="14" spans="1:49" ht="25.5" x14ac:dyDescent="0.2">
      <c r="B14" s="239" t="s">
        <v>231</v>
      </c>
      <c r="C14" s="203" t="s">
        <v>6</v>
      </c>
      <c r="D14" s="216">
        <v>342270</v>
      </c>
      <c r="E14" s="217">
        <v>334155.46999999997</v>
      </c>
      <c r="F14" s="217"/>
      <c r="G14" s="267"/>
      <c r="H14" s="270"/>
      <c r="I14" s="216"/>
      <c r="J14" s="216">
        <v>2171252</v>
      </c>
      <c r="K14" s="217">
        <v>2101135.23123213</v>
      </c>
      <c r="L14" s="217"/>
      <c r="M14" s="267"/>
      <c r="N14" s="270"/>
      <c r="O14" s="216"/>
      <c r="P14" s="216">
        <v>1689027</v>
      </c>
      <c r="Q14" s="217">
        <v>1801154.9354489737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v>
      </c>
      <c r="AU14" s="220">
        <v>2200113902</v>
      </c>
      <c r="AV14" s="290"/>
      <c r="AW14" s="297"/>
    </row>
    <row r="15" spans="1:49" ht="38.25" x14ac:dyDescent="0.2">
      <c r="B15" s="239" t="s">
        <v>232</v>
      </c>
      <c r="C15" s="203" t="s">
        <v>7</v>
      </c>
      <c r="D15" s="216">
        <v>13581</v>
      </c>
      <c r="E15" s="217">
        <v>13581.1</v>
      </c>
      <c r="F15" s="217"/>
      <c r="G15" s="267"/>
      <c r="H15" s="273"/>
      <c r="I15" s="216"/>
      <c r="J15" s="216">
        <v>68039</v>
      </c>
      <c r="K15" s="217">
        <v>61492.194170430565</v>
      </c>
      <c r="L15" s="217"/>
      <c r="M15" s="267"/>
      <c r="N15" s="273"/>
      <c r="O15" s="216"/>
      <c r="P15" s="216">
        <v>51462</v>
      </c>
      <c r="Q15" s="217">
        <v>48302.495829569438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17618</v>
      </c>
      <c r="AU15" s="220">
        <v>510651</v>
      </c>
      <c r="AV15" s="290"/>
      <c r="AW15" s="297"/>
    </row>
    <row r="16" spans="1:49" ht="25.5" x14ac:dyDescent="0.2">
      <c r="B16" s="239" t="s">
        <v>233</v>
      </c>
      <c r="C16" s="203" t="s">
        <v>61</v>
      </c>
      <c r="D16" s="216">
        <v>-1097421</v>
      </c>
      <c r="E16" s="268"/>
      <c r="F16" s="269"/>
      <c r="G16" s="270"/>
      <c r="H16" s="270"/>
      <c r="I16" s="272"/>
      <c r="J16" s="216">
        <v>33363</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-49192</v>
      </c>
      <c r="AU16" s="220">
        <v>-23266333</v>
      </c>
      <c r="AV16" s="290"/>
      <c r="AW16" s="297"/>
    </row>
    <row r="17" spans="1:49" x14ac:dyDescent="0.2">
      <c r="B17" s="239" t="s">
        <v>234</v>
      </c>
      <c r="C17" s="203" t="s">
        <v>62</v>
      </c>
      <c r="D17" s="216">
        <v>0</v>
      </c>
      <c r="E17" s="267"/>
      <c r="F17" s="270"/>
      <c r="G17" s="270"/>
      <c r="H17" s="270"/>
      <c r="I17" s="271"/>
      <c r="J17" s="216">
        <v>24763</v>
      </c>
      <c r="K17" s="267"/>
      <c r="L17" s="270"/>
      <c r="M17" s="270"/>
      <c r="N17" s="270"/>
      <c r="O17" s="271"/>
      <c r="P17" s="216">
        <v>-936849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-60957</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31132</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6368</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60957</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26791.84</v>
      </c>
      <c r="E22" s="222">
        <f>'Pt 2 Premium and Claims'!E$55</f>
        <v>26791.84</v>
      </c>
      <c r="F22" s="222">
        <f>'Pt 2 Premium and Claims'!F$55</f>
        <v>0</v>
      </c>
      <c r="G22" s="222">
        <f>'Pt 2 Premium and Claims'!G$55</f>
        <v>0</v>
      </c>
      <c r="H22" s="222">
        <f>'Pt 2 Premium and Claims'!H$55</f>
        <v>0</v>
      </c>
      <c r="I22" s="221">
        <f>'Pt 2 Premium and Claims'!I$55</f>
        <v>0</v>
      </c>
      <c r="J22" s="221">
        <f>'Pt 2 Premium and Claims'!J$55</f>
        <v>182680.7</v>
      </c>
      <c r="K22" s="222">
        <f>'Pt 2 Premium and Claims'!K$55</f>
        <v>163948.05075214469</v>
      </c>
      <c r="L22" s="222">
        <f>'Pt 2 Premium and Claims'!L$55</f>
        <v>0</v>
      </c>
      <c r="M22" s="222">
        <f>'Pt 2 Premium and Claims'!M$55</f>
        <v>0</v>
      </c>
      <c r="N22" s="222">
        <f>'Pt 2 Premium and Claims'!N$55</f>
        <v>0</v>
      </c>
      <c r="O22" s="221">
        <f>'Pt 2 Premium and Claims'!O$55</f>
        <v>0</v>
      </c>
      <c r="P22" s="221">
        <f>'Pt 2 Premium and Claims'!P$55</f>
        <v>140098.97</v>
      </c>
      <c r="Q22" s="222">
        <f>'Pt 2 Premium and Claims'!Q$55</f>
        <v>130651.05924785532</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1004989.77</v>
      </c>
      <c r="E25" s="217">
        <v>1004945.1678966647</v>
      </c>
      <c r="F25" s="217"/>
      <c r="G25" s="217"/>
      <c r="H25" s="217"/>
      <c r="I25" s="216"/>
      <c r="J25" s="216">
        <v>7634903.5899999999</v>
      </c>
      <c r="K25" s="217">
        <v>7416981.3826861968</v>
      </c>
      <c r="L25" s="217"/>
      <c r="M25" s="217"/>
      <c r="N25" s="217"/>
      <c r="O25" s="216"/>
      <c r="P25" s="216">
        <v>-1486387.89</v>
      </c>
      <c r="Q25" s="217">
        <v>-1045786.5865257848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2427065.17</v>
      </c>
      <c r="AU25" s="220">
        <v>310342413.32999998</v>
      </c>
      <c r="AV25" s="220"/>
      <c r="AW25" s="297"/>
    </row>
    <row r="26" spans="1:49" s="5" customFormat="1" x14ac:dyDescent="0.2">
      <c r="A26" s="35"/>
      <c r="B26" s="242" t="s">
        <v>242</v>
      </c>
      <c r="C26" s="203"/>
      <c r="D26" s="216">
        <v>12269.96</v>
      </c>
      <c r="E26" s="217">
        <v>12269.96</v>
      </c>
      <c r="F26" s="217"/>
      <c r="G26" s="217"/>
      <c r="H26" s="217"/>
      <c r="I26" s="216"/>
      <c r="J26" s="216">
        <v>61852.93</v>
      </c>
      <c r="K26" s="217">
        <v>55171.14374682137</v>
      </c>
      <c r="L26" s="217"/>
      <c r="M26" s="217"/>
      <c r="N26" s="217"/>
      <c r="O26" s="216"/>
      <c r="P26" s="216">
        <v>48478.03</v>
      </c>
      <c r="Q26" s="217">
        <v>45116.146253178631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668.06</v>
      </c>
      <c r="AV26" s="220"/>
      <c r="AW26" s="297"/>
    </row>
    <row r="27" spans="1:49" s="5" customFormat="1" x14ac:dyDescent="0.2">
      <c r="B27" s="242" t="s">
        <v>243</v>
      </c>
      <c r="C27" s="203"/>
      <c r="D27" s="216">
        <v>443469.31</v>
      </c>
      <c r="E27" s="217">
        <v>443469.31</v>
      </c>
      <c r="F27" s="217"/>
      <c r="G27" s="217"/>
      <c r="H27" s="217"/>
      <c r="I27" s="216"/>
      <c r="J27" s="216">
        <v>2226791.34</v>
      </c>
      <c r="K27" s="217">
        <v>2012500.0698463947</v>
      </c>
      <c r="L27" s="217"/>
      <c r="M27" s="217"/>
      <c r="N27" s="217"/>
      <c r="O27" s="216"/>
      <c r="P27" s="216">
        <v>1664660.79</v>
      </c>
      <c r="Q27" s="217">
        <v>1561264.5701536054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92930.29</v>
      </c>
      <c r="AU27" s="220">
        <v>337209960.98000002</v>
      </c>
      <c r="AV27" s="293"/>
      <c r="AW27" s="297"/>
    </row>
    <row r="28" spans="1:49" s="5" customFormat="1" x14ac:dyDescent="0.2">
      <c r="A28" s="35"/>
      <c r="B28" s="242" t="s">
        <v>244</v>
      </c>
      <c r="C28" s="203"/>
      <c r="D28" s="216">
        <v>55699.02</v>
      </c>
      <c r="E28" s="217">
        <v>55699.02</v>
      </c>
      <c r="F28" s="217"/>
      <c r="G28" s="217"/>
      <c r="H28" s="217"/>
      <c r="I28" s="216"/>
      <c r="J28" s="216">
        <v>218273.49</v>
      </c>
      <c r="K28" s="217">
        <v>196020.00695237354</v>
      </c>
      <c r="L28" s="217"/>
      <c r="M28" s="217"/>
      <c r="N28" s="217"/>
      <c r="O28" s="216"/>
      <c r="P28" s="216">
        <v>171293.49</v>
      </c>
      <c r="Q28" s="217">
        <v>159753.05304762648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43007.63</v>
      </c>
      <c r="AU28" s="220">
        <v>37477599.530000001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90886.5</v>
      </c>
      <c r="E30" s="217">
        <v>90883.012182979452</v>
      </c>
      <c r="F30" s="217"/>
      <c r="G30" s="217"/>
      <c r="H30" s="217"/>
      <c r="I30" s="216"/>
      <c r="J30" s="216">
        <v>675135.66</v>
      </c>
      <c r="K30" s="217">
        <v>649575.99349371472</v>
      </c>
      <c r="L30" s="217"/>
      <c r="M30" s="217"/>
      <c r="N30" s="217"/>
      <c r="O30" s="216"/>
      <c r="P30" s="216">
        <v>-44171.24</v>
      </c>
      <c r="Q30" s="217">
        <v>-14124.899402348143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208845.02</v>
      </c>
      <c r="AU30" s="220">
        <v>29377886.550000001</v>
      </c>
      <c r="AV30" s="220"/>
      <c r="AW30" s="297"/>
    </row>
    <row r="31" spans="1:49" x14ac:dyDescent="0.2">
      <c r="B31" s="242" t="s">
        <v>247</v>
      </c>
      <c r="C31" s="203"/>
      <c r="D31" s="216">
        <v>2138.59</v>
      </c>
      <c r="E31" s="217">
        <v>2138.59</v>
      </c>
      <c r="F31" s="217"/>
      <c r="G31" s="217"/>
      <c r="H31" s="217"/>
      <c r="I31" s="216"/>
      <c r="J31" s="216">
        <v>13130.33</v>
      </c>
      <c r="K31" s="217">
        <v>11874.580270713031</v>
      </c>
      <c r="L31" s="217"/>
      <c r="M31" s="217"/>
      <c r="N31" s="217"/>
      <c r="O31" s="216"/>
      <c r="P31" s="216">
        <v>10425.120000000001</v>
      </c>
      <c r="Q31" s="217">
        <v>9850.5097292869686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3289.99</v>
      </c>
      <c r="AU31" s="220">
        <v>3174.65</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136977.01999999999</v>
      </c>
      <c r="E34" s="217">
        <v>214846.24</v>
      </c>
      <c r="F34" s="217"/>
      <c r="G34" s="217"/>
      <c r="H34" s="217"/>
      <c r="I34" s="216"/>
      <c r="J34" s="216">
        <v>1100141.8700000001</v>
      </c>
      <c r="K34" s="217">
        <v>1057696.1567598993</v>
      </c>
      <c r="L34" s="217"/>
      <c r="M34" s="217"/>
      <c r="N34" s="217"/>
      <c r="O34" s="216"/>
      <c r="P34" s="216">
        <v>788057.41</v>
      </c>
      <c r="Q34" s="217">
        <v>830503.12324010069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29.04</v>
      </c>
      <c r="AV34" s="220"/>
      <c r="AW34" s="297"/>
    </row>
    <row r="35" spans="1:49" x14ac:dyDescent="0.2">
      <c r="B35" s="242" t="s">
        <v>251</v>
      </c>
      <c r="C35" s="203"/>
      <c r="D35" s="216">
        <v>32821.93</v>
      </c>
      <c r="E35" s="217">
        <v>32821.93</v>
      </c>
      <c r="F35" s="217"/>
      <c r="G35" s="217"/>
      <c r="H35" s="217"/>
      <c r="I35" s="216"/>
      <c r="J35" s="216">
        <v>140976.1</v>
      </c>
      <c r="K35" s="217">
        <v>127359.90523193296</v>
      </c>
      <c r="L35" s="217"/>
      <c r="M35" s="217"/>
      <c r="N35" s="217"/>
      <c r="O35" s="216"/>
      <c r="P35" s="216">
        <v>103287.43</v>
      </c>
      <c r="Q35" s="217">
        <v>96603.574768067047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43449.05</v>
      </c>
      <c r="AU35" s="220">
        <v>13158093.4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74299</v>
      </c>
      <c r="E37" s="225">
        <v>74298.600000000006</v>
      </c>
      <c r="F37" s="225"/>
      <c r="G37" s="225"/>
      <c r="H37" s="225"/>
      <c r="I37" s="224"/>
      <c r="J37" s="224">
        <v>402388</v>
      </c>
      <c r="K37" s="225">
        <v>377311.40247698256</v>
      </c>
      <c r="L37" s="225"/>
      <c r="M37" s="225"/>
      <c r="N37" s="225"/>
      <c r="O37" s="224"/>
      <c r="P37" s="224">
        <v>379759</v>
      </c>
      <c r="Q37" s="225">
        <v>372748.83752301743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809</v>
      </c>
      <c r="AU37" s="226">
        <v>122287036</v>
      </c>
      <c r="AV37" s="226">
        <v>334200</v>
      </c>
      <c r="AW37" s="296"/>
    </row>
    <row r="38" spans="1:49" x14ac:dyDescent="0.2">
      <c r="B38" s="239" t="s">
        <v>254</v>
      </c>
      <c r="C38" s="203" t="s">
        <v>16</v>
      </c>
      <c r="D38" s="216">
        <v>41148</v>
      </c>
      <c r="E38" s="217">
        <v>41147.81</v>
      </c>
      <c r="F38" s="217"/>
      <c r="G38" s="217"/>
      <c r="H38" s="217"/>
      <c r="I38" s="216"/>
      <c r="J38" s="216">
        <v>19320</v>
      </c>
      <c r="K38" s="217">
        <v>16295.085570300595</v>
      </c>
      <c r="L38" s="217"/>
      <c r="M38" s="217"/>
      <c r="N38" s="217"/>
      <c r="O38" s="216"/>
      <c r="P38" s="216">
        <v>98304</v>
      </c>
      <c r="Q38" s="217">
        <v>83857.43442969941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v>
      </c>
      <c r="AU38" s="220">
        <v>48582843</v>
      </c>
      <c r="AV38" s="220">
        <v>156149</v>
      </c>
      <c r="AW38" s="297"/>
    </row>
    <row r="39" spans="1:49" x14ac:dyDescent="0.2">
      <c r="B39" s="242" t="s">
        <v>255</v>
      </c>
      <c r="C39" s="203" t="s">
        <v>17</v>
      </c>
      <c r="D39" s="216">
        <v>31828</v>
      </c>
      <c r="E39" s="217">
        <v>31828.32</v>
      </c>
      <c r="F39" s="217"/>
      <c r="G39" s="217"/>
      <c r="H39" s="217"/>
      <c r="I39" s="216"/>
      <c r="J39" s="216">
        <v>161130</v>
      </c>
      <c r="K39" s="217">
        <v>152927.23936025298</v>
      </c>
      <c r="L39" s="217"/>
      <c r="M39" s="217"/>
      <c r="N39" s="217"/>
      <c r="O39" s="216"/>
      <c r="P39" s="216">
        <v>130686</v>
      </c>
      <c r="Q39" s="217">
        <v>131762.47063974701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2161</v>
      </c>
      <c r="AU39" s="220">
        <v>41693789</v>
      </c>
      <c r="AV39" s="220">
        <v>101848</v>
      </c>
      <c r="AW39" s="297"/>
    </row>
    <row r="40" spans="1:49" x14ac:dyDescent="0.2">
      <c r="B40" s="242" t="s">
        <v>256</v>
      </c>
      <c r="C40" s="203" t="s">
        <v>38</v>
      </c>
      <c r="D40" s="216">
        <v>107561</v>
      </c>
      <c r="E40" s="217">
        <v>107560.68</v>
      </c>
      <c r="F40" s="217"/>
      <c r="G40" s="217"/>
      <c r="H40" s="217"/>
      <c r="I40" s="216"/>
      <c r="J40" s="216">
        <v>1344407</v>
      </c>
      <c r="K40" s="217">
        <v>1279833.3889365536</v>
      </c>
      <c r="L40" s="217"/>
      <c r="M40" s="217"/>
      <c r="N40" s="217"/>
      <c r="O40" s="216"/>
      <c r="P40" s="216">
        <v>1032758</v>
      </c>
      <c r="Q40" s="217">
        <v>1058287.4610634465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13053</v>
      </c>
      <c r="AU40" s="220">
        <v>117336440</v>
      </c>
      <c r="AV40" s="220">
        <v>830322</v>
      </c>
      <c r="AW40" s="297"/>
    </row>
    <row r="41" spans="1:49" s="5" customFormat="1" ht="25.5" x14ac:dyDescent="0.2">
      <c r="A41" s="35"/>
      <c r="B41" s="242" t="s">
        <v>257</v>
      </c>
      <c r="C41" s="203" t="s">
        <v>129</v>
      </c>
      <c r="D41" s="216">
        <v>29573</v>
      </c>
      <c r="E41" s="217">
        <v>29573.15</v>
      </c>
      <c r="F41" s="217"/>
      <c r="G41" s="217"/>
      <c r="H41" s="217"/>
      <c r="I41" s="216"/>
      <c r="J41" s="216">
        <v>177782</v>
      </c>
      <c r="K41" s="217">
        <v>160087.9248594651</v>
      </c>
      <c r="L41" s="217"/>
      <c r="M41" s="217"/>
      <c r="N41" s="217"/>
      <c r="O41" s="216"/>
      <c r="P41" s="216">
        <v>132866</v>
      </c>
      <c r="Q41" s="217">
        <v>124582.33514053489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29195</v>
      </c>
      <c r="AU41" s="220">
        <v>54599724</v>
      </c>
      <c r="AV41" s="220">
        <v>222809</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196623</v>
      </c>
      <c r="E44" s="225">
        <v>196622.81</v>
      </c>
      <c r="F44" s="225"/>
      <c r="G44" s="225"/>
      <c r="H44" s="225"/>
      <c r="I44" s="224"/>
      <c r="J44" s="224">
        <v>1342151</v>
      </c>
      <c r="K44" s="225">
        <v>1241084.9711978096</v>
      </c>
      <c r="L44" s="225"/>
      <c r="M44" s="225"/>
      <c r="N44" s="225"/>
      <c r="O44" s="224"/>
      <c r="P44" s="224">
        <v>1014033</v>
      </c>
      <c r="Q44" s="225">
        <v>990148.65880219033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86593</v>
      </c>
      <c r="AU44" s="226">
        <v>229820845</v>
      </c>
      <c r="AV44" s="226">
        <v>3926500</v>
      </c>
      <c r="AW44" s="296"/>
    </row>
    <row r="45" spans="1:49" x14ac:dyDescent="0.2">
      <c r="B45" s="245" t="s">
        <v>261</v>
      </c>
      <c r="C45" s="203" t="s">
        <v>19</v>
      </c>
      <c r="D45" s="216">
        <v>166789</v>
      </c>
      <c r="E45" s="217">
        <v>166789.37</v>
      </c>
      <c r="F45" s="217"/>
      <c r="G45" s="217"/>
      <c r="H45" s="217"/>
      <c r="I45" s="216"/>
      <c r="J45" s="216">
        <v>802162</v>
      </c>
      <c r="K45" s="217">
        <v>734484.79590965889</v>
      </c>
      <c r="L45" s="217"/>
      <c r="M45" s="217"/>
      <c r="N45" s="217"/>
      <c r="O45" s="216"/>
      <c r="P45" s="216">
        <v>595309</v>
      </c>
      <c r="Q45" s="217">
        <v>570421.0640903411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282999</v>
      </c>
      <c r="AU45" s="220">
        <v>187414268</v>
      </c>
      <c r="AV45" s="220">
        <v>1230417</v>
      </c>
      <c r="AW45" s="297"/>
    </row>
    <row r="46" spans="1:49" x14ac:dyDescent="0.2">
      <c r="B46" s="245" t="s">
        <v>262</v>
      </c>
      <c r="C46" s="203" t="s">
        <v>20</v>
      </c>
      <c r="D46" s="216">
        <v>57643</v>
      </c>
      <c r="E46" s="217">
        <v>57642.78</v>
      </c>
      <c r="F46" s="217"/>
      <c r="G46" s="217"/>
      <c r="H46" s="217"/>
      <c r="I46" s="216"/>
      <c r="J46" s="216">
        <v>476461</v>
      </c>
      <c r="K46" s="217">
        <v>428132.94355362275</v>
      </c>
      <c r="L46" s="217"/>
      <c r="M46" s="217"/>
      <c r="N46" s="217"/>
      <c r="O46" s="216"/>
      <c r="P46" s="216">
        <v>365540</v>
      </c>
      <c r="Q46" s="217">
        <v>341527.63644637726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82215</v>
      </c>
      <c r="AU46" s="220">
        <v>187692596</v>
      </c>
      <c r="AV46" s="220">
        <v>468028</v>
      </c>
      <c r="AW46" s="297"/>
    </row>
    <row r="47" spans="1:49" x14ac:dyDescent="0.2">
      <c r="B47" s="245" t="s">
        <v>263</v>
      </c>
      <c r="C47" s="203" t="s">
        <v>21</v>
      </c>
      <c r="D47" s="216">
        <v>1772177</v>
      </c>
      <c r="E47" s="217">
        <v>1772177.37</v>
      </c>
      <c r="F47" s="217"/>
      <c r="G47" s="217"/>
      <c r="H47" s="217"/>
      <c r="I47" s="216"/>
      <c r="J47" s="216">
        <v>4054456</v>
      </c>
      <c r="K47" s="217">
        <v>3893022.6571059832</v>
      </c>
      <c r="L47" s="217"/>
      <c r="M47" s="217"/>
      <c r="N47" s="217"/>
      <c r="O47" s="216"/>
      <c r="P47" s="216">
        <v>3065436</v>
      </c>
      <c r="Q47" s="217">
        <v>3214295.792894017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3859489</v>
      </c>
      <c r="AU47" s="220">
        <v>166834668</v>
      </c>
      <c r="AV47" s="220">
        <v>465110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29368.2</v>
      </c>
      <c r="E49" s="217">
        <v>29366.92</v>
      </c>
      <c r="F49" s="217"/>
      <c r="G49" s="217"/>
      <c r="H49" s="217"/>
      <c r="I49" s="216"/>
      <c r="J49" s="216">
        <v>219182.68</v>
      </c>
      <c r="K49" s="217">
        <v>219300.69654443688</v>
      </c>
      <c r="L49" s="217"/>
      <c r="M49" s="217"/>
      <c r="N49" s="217"/>
      <c r="O49" s="216"/>
      <c r="P49" s="216">
        <v>-42165.06</v>
      </c>
      <c r="Q49" s="217">
        <v>-36022.556544436884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69969.05</v>
      </c>
      <c r="AU49" s="220">
        <v>9682301.8100000005</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2369158.09</v>
      </c>
      <c r="AV50" s="220"/>
      <c r="AW50" s="297"/>
    </row>
    <row r="51" spans="2:49" x14ac:dyDescent="0.2">
      <c r="B51" s="239" t="s">
        <v>266</v>
      </c>
      <c r="C51" s="203"/>
      <c r="D51" s="216">
        <v>1502456</v>
      </c>
      <c r="E51" s="217">
        <v>1502456.28</v>
      </c>
      <c r="F51" s="217"/>
      <c r="G51" s="217"/>
      <c r="H51" s="217"/>
      <c r="I51" s="216"/>
      <c r="J51" s="216">
        <v>6802552</v>
      </c>
      <c r="K51" s="217">
        <v>6116810.913479927</v>
      </c>
      <c r="L51" s="217"/>
      <c r="M51" s="217"/>
      <c r="N51" s="217"/>
      <c r="O51" s="216"/>
      <c r="P51" s="216">
        <v>5127411</v>
      </c>
      <c r="Q51" s="217">
        <v>4775941.4865200724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-360575</v>
      </c>
      <c r="AU51" s="220">
        <v>984706114</v>
      </c>
      <c r="AV51" s="220">
        <v>7303839</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2481</v>
      </c>
      <c r="E56" s="229">
        <v>2481</v>
      </c>
      <c r="F56" s="229"/>
      <c r="G56" s="229"/>
      <c r="H56" s="229"/>
      <c r="I56" s="228"/>
      <c r="J56" s="228">
        <v>19961</v>
      </c>
      <c r="K56" s="229">
        <v>12687</v>
      </c>
      <c r="L56" s="229"/>
      <c r="M56" s="229"/>
      <c r="N56" s="229"/>
      <c r="O56" s="228"/>
      <c r="P56" s="228">
        <v>15365</v>
      </c>
      <c r="Q56" s="229">
        <v>7987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52557</v>
      </c>
      <c r="AU56" s="230">
        <v>6079213</v>
      </c>
      <c r="AV56" s="230">
        <v>15614</v>
      </c>
      <c r="AW56" s="288"/>
    </row>
    <row r="57" spans="2:49" x14ac:dyDescent="0.2">
      <c r="B57" s="245" t="s">
        <v>272</v>
      </c>
      <c r="C57" s="203" t="s">
        <v>25</v>
      </c>
      <c r="D57" s="231">
        <v>4412</v>
      </c>
      <c r="E57" s="232">
        <v>4412</v>
      </c>
      <c r="F57" s="232"/>
      <c r="G57" s="232"/>
      <c r="H57" s="232"/>
      <c r="I57" s="231"/>
      <c r="J57" s="231">
        <v>38513</v>
      </c>
      <c r="K57" s="232">
        <v>23568</v>
      </c>
      <c r="L57" s="232"/>
      <c r="M57" s="232"/>
      <c r="N57" s="232"/>
      <c r="O57" s="231"/>
      <c r="P57" s="231">
        <v>34369</v>
      </c>
      <c r="Q57" s="232">
        <v>18967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103498</v>
      </c>
      <c r="AU57" s="233">
        <v>6079213</v>
      </c>
      <c r="AV57" s="233">
        <v>35068</v>
      </c>
      <c r="AW57" s="289"/>
    </row>
    <row r="58" spans="2:49" x14ac:dyDescent="0.2">
      <c r="B58" s="245" t="s">
        <v>273</v>
      </c>
      <c r="C58" s="203" t="s">
        <v>26</v>
      </c>
      <c r="D58" s="309"/>
      <c r="E58" s="310"/>
      <c r="F58" s="310"/>
      <c r="G58" s="310"/>
      <c r="H58" s="310"/>
      <c r="I58" s="309"/>
      <c r="J58" s="231">
        <v>968</v>
      </c>
      <c r="K58" s="232">
        <v>968</v>
      </c>
      <c r="L58" s="232"/>
      <c r="M58" s="232"/>
      <c r="N58" s="232"/>
      <c r="O58" s="231"/>
      <c r="P58" s="231">
        <v>66</v>
      </c>
      <c r="Q58" s="232">
        <v>66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980</v>
      </c>
      <c r="AU58" s="233">
        <v>822</v>
      </c>
      <c r="AV58" s="233">
        <v>44</v>
      </c>
      <c r="AW58" s="289"/>
    </row>
    <row r="59" spans="2:49" x14ac:dyDescent="0.2">
      <c r="B59" s="245" t="s">
        <v>274</v>
      </c>
      <c r="C59" s="203" t="s">
        <v>27</v>
      </c>
      <c r="D59" s="231">
        <v>56886</v>
      </c>
      <c r="E59" s="232">
        <v>56804</v>
      </c>
      <c r="F59" s="232"/>
      <c r="G59" s="232"/>
      <c r="H59" s="232"/>
      <c r="I59" s="231"/>
      <c r="J59" s="231">
        <v>467023</v>
      </c>
      <c r="K59" s="232">
        <v>290896</v>
      </c>
      <c r="L59" s="232"/>
      <c r="M59" s="232"/>
      <c r="N59" s="232"/>
      <c r="O59" s="231"/>
      <c r="P59" s="231">
        <v>419988</v>
      </c>
      <c r="Q59" s="232">
        <v>225890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1277429</v>
      </c>
      <c r="AU59" s="233">
        <v>71758934</v>
      </c>
      <c r="AV59" s="233">
        <v>423964</v>
      </c>
      <c r="AW59" s="289"/>
    </row>
    <row r="60" spans="2:49" x14ac:dyDescent="0.2">
      <c r="B60" s="245" t="s">
        <v>275</v>
      </c>
      <c r="C60" s="203"/>
      <c r="D60" s="234">
        <f t="shared" ref="D60:AC60" si="0">D$59/12</f>
        <v>4740.5</v>
      </c>
      <c r="E60" s="235">
        <f t="shared" si="0"/>
        <v>4733.666666666667</v>
      </c>
      <c r="F60" s="235">
        <f t="shared" si="0"/>
        <v>0</v>
      </c>
      <c r="G60" s="235">
        <f t="shared" si="0"/>
        <v>0</v>
      </c>
      <c r="H60" s="235">
        <f t="shared" si="0"/>
        <v>0</v>
      </c>
      <c r="I60" s="234">
        <f t="shared" si="0"/>
        <v>0</v>
      </c>
      <c r="J60" s="234">
        <f t="shared" si="0"/>
        <v>38918.583333333336</v>
      </c>
      <c r="K60" s="235">
        <f t="shared" si="0"/>
        <v>24241.333333333332</v>
      </c>
      <c r="L60" s="235">
        <f t="shared" si="0"/>
        <v>0</v>
      </c>
      <c r="M60" s="235">
        <f t="shared" si="0"/>
        <v>0</v>
      </c>
      <c r="N60" s="235">
        <f t="shared" si="0"/>
        <v>0</v>
      </c>
      <c r="O60" s="234">
        <f t="shared" si="0"/>
        <v>0</v>
      </c>
      <c r="P60" s="234">
        <f t="shared" si="0"/>
        <v>34999</v>
      </c>
      <c r="Q60" s="235">
        <f t="shared" si="0"/>
        <v>18824.166666666668</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106452.41666666667</v>
      </c>
      <c r="AU60" s="236">
        <f>AU$59/12</f>
        <v>5979911.166666667</v>
      </c>
      <c r="AV60" s="236">
        <f>AV$59/12</f>
        <v>35330.333333333336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235934201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93431857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26080273</v>
      </c>
      <c r="E5" s="326">
        <v>21773912.09</v>
      </c>
      <c r="F5" s="326"/>
      <c r="G5" s="328"/>
      <c r="H5" s="328"/>
      <c r="I5" s="325"/>
      <c r="J5" s="325">
        <v>129570984</v>
      </c>
      <c r="K5" s="326">
        <v>115116603.1703397</v>
      </c>
      <c r="L5" s="326"/>
      <c r="M5" s="326"/>
      <c r="N5" s="326"/>
      <c r="O5" s="325"/>
      <c r="P5" s="325">
        <v>102410063</v>
      </c>
      <c r="Q5" s="326">
        <v>96147477.213184699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34545676</v>
      </c>
      <c r="AU5" s="327">
        <v>20114468303</v>
      </c>
      <c r="AV5" s="369"/>
      <c r="AW5" s="373"/>
    </row>
    <row r="6" spans="2:49" x14ac:dyDescent="0.2">
      <c r="B6" s="343" t="s">
        <v>278</v>
      </c>
      <c r="C6" s="331" t="s">
        <v>8</v>
      </c>
      <c r="D6" s="318">
        <v>215171</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29791</v>
      </c>
      <c r="AU6" s="321">
        <v>0</v>
      </c>
      <c r="AV6" s="368"/>
      <c r="AW6" s="374"/>
    </row>
    <row r="7" spans="2:49" x14ac:dyDescent="0.2">
      <c r="B7" s="343" t="s">
        <v>279</v>
      </c>
      <c r="C7" s="331" t="s">
        <v>9</v>
      </c>
      <c r="D7" s="318">
        <v>202946</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44906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-4406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-293251996</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6368</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28350984</v>
      </c>
      <c r="AV11" s="368"/>
      <c r="AW11" s="374"/>
    </row>
    <row r="12" spans="2:49" ht="15" customHeight="1" x14ac:dyDescent="0.2">
      <c r="B12" s="343" t="s">
        <v>282</v>
      </c>
      <c r="C12" s="331" t="s">
        <v>44</v>
      </c>
      <c r="D12" s="318">
        <v>0</v>
      </c>
      <c r="E12" s="363"/>
      <c r="F12" s="363"/>
      <c r="G12" s="363"/>
      <c r="H12" s="363"/>
      <c r="I12" s="365"/>
      <c r="J12" s="318">
        <v>31132</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-278123194</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1894133.6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596881.13</v>
      </c>
      <c r="F16" s="319"/>
      <c r="G16" s="319"/>
      <c r="H16" s="319"/>
      <c r="I16" s="318"/>
      <c r="J16" s="318"/>
      <c r="K16" s="319">
        <v>1292326.01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-24711</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-183612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21677809</v>
      </c>
      <c r="E23" s="362"/>
      <c r="F23" s="362"/>
      <c r="G23" s="362"/>
      <c r="H23" s="362"/>
      <c r="I23" s="364"/>
      <c r="J23" s="318">
        <v>94685171</v>
      </c>
      <c r="K23" s="362"/>
      <c r="L23" s="362"/>
      <c r="M23" s="362"/>
      <c r="N23" s="362"/>
      <c r="O23" s="364"/>
      <c r="P23" s="318">
        <v>83505737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24984791</v>
      </c>
      <c r="AU23" s="321">
        <v>17075980728</v>
      </c>
      <c r="AV23" s="368"/>
      <c r="AW23" s="374"/>
    </row>
    <row r="24" spans="2:49" ht="28.5" customHeight="1" x14ac:dyDescent="0.2">
      <c r="B24" s="345" t="s">
        <v>114</v>
      </c>
      <c r="C24" s="331"/>
      <c r="D24" s="365"/>
      <c r="E24" s="319">
        <v>19787511.98</v>
      </c>
      <c r="F24" s="319"/>
      <c r="G24" s="319"/>
      <c r="H24" s="319"/>
      <c r="I24" s="318"/>
      <c r="J24" s="365"/>
      <c r="K24" s="319">
        <v>88095615.810000002</v>
      </c>
      <c r="L24" s="319"/>
      <c r="M24" s="319"/>
      <c r="N24" s="319"/>
      <c r="O24" s="318"/>
      <c r="P24" s="365"/>
      <c r="Q24" s="319">
        <v>80784373.370000005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2385952</v>
      </c>
      <c r="E26" s="362"/>
      <c r="F26" s="362"/>
      <c r="G26" s="362"/>
      <c r="H26" s="362"/>
      <c r="I26" s="364"/>
      <c r="J26" s="318">
        <v>10605820</v>
      </c>
      <c r="K26" s="362"/>
      <c r="L26" s="362"/>
      <c r="M26" s="362"/>
      <c r="N26" s="362"/>
      <c r="O26" s="364"/>
      <c r="P26" s="318">
        <v>9757681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4380905</v>
      </c>
      <c r="AU26" s="321">
        <v>1438633110</v>
      </c>
      <c r="AV26" s="368"/>
      <c r="AW26" s="374"/>
    </row>
    <row r="27" spans="2:49" s="5" customFormat="1" ht="25.5" x14ac:dyDescent="0.2">
      <c r="B27" s="345" t="s">
        <v>85</v>
      </c>
      <c r="C27" s="331"/>
      <c r="D27" s="365"/>
      <c r="E27" s="319">
        <v>378250.38600000023</v>
      </c>
      <c r="F27" s="319"/>
      <c r="G27" s="319"/>
      <c r="H27" s="319"/>
      <c r="I27" s="318"/>
      <c r="J27" s="365"/>
      <c r="K27" s="319">
        <v>520041.65902904433</v>
      </c>
      <c r="L27" s="319"/>
      <c r="M27" s="319"/>
      <c r="N27" s="319"/>
      <c r="O27" s="318"/>
      <c r="P27" s="365"/>
      <c r="Q27" s="319">
        <v>543301.25307426124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3756583</v>
      </c>
      <c r="E28" s="363"/>
      <c r="F28" s="363"/>
      <c r="G28" s="363"/>
      <c r="H28" s="363"/>
      <c r="I28" s="365"/>
      <c r="J28" s="318">
        <v>10633437</v>
      </c>
      <c r="K28" s="363"/>
      <c r="L28" s="363"/>
      <c r="M28" s="363"/>
      <c r="N28" s="363"/>
      <c r="O28" s="365"/>
      <c r="P28" s="318">
        <v>7480251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6324560</v>
      </c>
      <c r="AU28" s="321">
        <v>1480257265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16195</v>
      </c>
      <c r="K30" s="362"/>
      <c r="L30" s="362"/>
      <c r="M30" s="362"/>
      <c r="N30" s="362"/>
      <c r="O30" s="364"/>
      <c r="P30" s="318">
        <v>33690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156606</v>
      </c>
      <c r="AU30" s="321">
        <v>0</v>
      </c>
      <c r="AV30" s="368"/>
      <c r="AW30" s="374"/>
    </row>
    <row r="31" spans="2:49" s="5" customFormat="1" ht="25.5" x14ac:dyDescent="0.2">
      <c r="B31" s="345" t="s">
        <v>84</v>
      </c>
      <c r="C31" s="331"/>
      <c r="D31" s="365"/>
      <c r="E31" s="319"/>
      <c r="F31" s="319"/>
      <c r="G31" s="319"/>
      <c r="H31" s="319"/>
      <c r="I31" s="318"/>
      <c r="J31" s="365"/>
      <c r="K31" s="319">
        <v>-5519.43</v>
      </c>
      <c r="L31" s="319"/>
      <c r="M31" s="319"/>
      <c r="N31" s="319"/>
      <c r="O31" s="318"/>
      <c r="P31" s="365"/>
      <c r="Q31" s="319">
        <v>30931.040000000001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21715</v>
      </c>
      <c r="K32" s="363"/>
      <c r="L32" s="363"/>
      <c r="M32" s="363"/>
      <c r="N32" s="363"/>
      <c r="O32" s="365"/>
      <c r="P32" s="318">
        <v>2759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227852</v>
      </c>
      <c r="AU32" s="321">
        <v>10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687927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40</v>
      </c>
      <c r="AU34" s="321">
        <v>-1</v>
      </c>
      <c r="AV34" s="368"/>
      <c r="AW34" s="374"/>
    </row>
    <row r="35" spans="2:49" s="5" customFormat="1" x14ac:dyDescent="0.2">
      <c r="B35" s="345" t="s">
        <v>91</v>
      </c>
      <c r="C35" s="331"/>
      <c r="D35" s="365"/>
      <c r="E35" s="319">
        <v>687927.28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4137445</v>
      </c>
      <c r="E36" s="319">
        <v>4137445.24</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-4406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-293251996</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6368</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28350984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31132</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-278123194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9264567</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2118715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2618181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93540</v>
      </c>
      <c r="E49" s="319">
        <v>334155.46999999997</v>
      </c>
      <c r="F49" s="319"/>
      <c r="G49" s="319"/>
      <c r="H49" s="319"/>
      <c r="I49" s="318"/>
      <c r="J49" s="318">
        <v>945453</v>
      </c>
      <c r="K49" s="319">
        <v>2101135.23123213</v>
      </c>
      <c r="L49" s="319"/>
      <c r="M49" s="319"/>
      <c r="N49" s="319"/>
      <c r="O49" s="318"/>
      <c r="P49" s="318">
        <v>200235</v>
      </c>
      <c r="Q49" s="319">
        <v>1801154.9354489737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-2992</v>
      </c>
      <c r="AU49" s="321">
        <v>482180534</v>
      </c>
      <c r="AV49" s="368"/>
      <c r="AW49" s="374"/>
    </row>
    <row r="50" spans="2:49" x14ac:dyDescent="0.2">
      <c r="B50" s="343" t="s">
        <v>119</v>
      </c>
      <c r="C50" s="331" t="s">
        <v>34</v>
      </c>
      <c r="D50" s="318">
        <v>50248</v>
      </c>
      <c r="E50" s="363"/>
      <c r="F50" s="363"/>
      <c r="G50" s="363"/>
      <c r="H50" s="363"/>
      <c r="I50" s="365"/>
      <c r="J50" s="318">
        <v>636594</v>
      </c>
      <c r="K50" s="363"/>
      <c r="L50" s="363"/>
      <c r="M50" s="363"/>
      <c r="N50" s="363"/>
      <c r="O50" s="365"/>
      <c r="P50" s="318">
        <v>429702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2874</v>
      </c>
      <c r="AU50" s="321">
        <v>359675520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121880.35628088315</v>
      </c>
      <c r="L53" s="319"/>
      <c r="M53" s="319"/>
      <c r="N53" s="319"/>
      <c r="O53" s="318"/>
      <c r="P53" s="318">
        <v>0</v>
      </c>
      <c r="Q53" s="319">
        <v>-632801.73155056417</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16814368</v>
      </c>
      <c r="E54" s="323">
        <f>E24+E27+E31+E35-E36+E39+E42+E45+E46-E49+E51+E52+E53</f>
        <v>16382088.936000001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94318411</v>
      </c>
      <c r="K54" s="323">
        <f>K24+K27+K31+K35-K36+K39+K42+K45+K46-K49+K51+K52+K53</f>
        <v>86630883.164077789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86039159</v>
      </c>
      <c r="Q54" s="323">
        <f>Q24+Q27+Q31+Q35-Q36+Q39+Q42+Q45+Q46-Q49+Q51+Q52+Q53</f>
        <v>78924648.996074736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22975796</v>
      </c>
      <c r="AU54" s="324">
        <f>AU23+AU26-AU28+AU30-AU32+AU34-AU36+AU38+AU41-AU43+AU45+AU46-AU47-AU49+AU50+AU51+AU52+AU53</f>
        <v>16933838831</v>
      </c>
      <c r="AV54" s="368"/>
      <c r="AW54" s="374"/>
    </row>
    <row r="55" spans="2:49" ht="25.5" x14ac:dyDescent="0.2">
      <c r="B55" s="348" t="s">
        <v>493</v>
      </c>
      <c r="C55" s="335" t="s">
        <v>28</v>
      </c>
      <c r="D55" s="322">
        <f t="shared" ref="D55:AC55" si="0">MIN(MAX(0,D56),MAX(0,D57))</f>
        <v>26791.84</v>
      </c>
      <c r="E55" s="323">
        <f t="shared" si="0"/>
        <v>26791.84</v>
      </c>
      <c r="F55" s="323">
        <f t="shared" si="0"/>
        <v>0</v>
      </c>
      <c r="G55" s="323">
        <f t="shared" si="0"/>
        <v>0</v>
      </c>
      <c r="H55" s="323">
        <f t="shared" si="0"/>
        <v>0</v>
      </c>
      <c r="I55" s="322">
        <f t="shared" si="0"/>
        <v>0</v>
      </c>
      <c r="J55" s="322">
        <f t="shared" si="0"/>
        <v>182680.7</v>
      </c>
      <c r="K55" s="323">
        <f t="shared" si="0"/>
        <v>163948.05075214469</v>
      </c>
      <c r="L55" s="323">
        <f t="shared" si="0"/>
        <v>0</v>
      </c>
      <c r="M55" s="323">
        <f t="shared" si="0"/>
        <v>0</v>
      </c>
      <c r="N55" s="323">
        <f t="shared" si="0"/>
        <v>0</v>
      </c>
      <c r="O55" s="322">
        <f t="shared" si="0"/>
        <v>0</v>
      </c>
      <c r="P55" s="322">
        <f t="shared" si="0"/>
        <v>140098.97</v>
      </c>
      <c r="Q55" s="323">
        <f t="shared" si="0"/>
        <v>130651.05924785532</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26791.84</v>
      </c>
      <c r="E56" s="319">
        <v>26791.84</v>
      </c>
      <c r="F56" s="319"/>
      <c r="G56" s="319"/>
      <c r="H56" s="319"/>
      <c r="I56" s="318"/>
      <c r="J56" s="318">
        <v>182680.7</v>
      </c>
      <c r="K56" s="319">
        <v>163948.05075214469</v>
      </c>
      <c r="L56" s="319"/>
      <c r="M56" s="319"/>
      <c r="N56" s="319"/>
      <c r="O56" s="318"/>
      <c r="P56" s="318">
        <v>140098.97</v>
      </c>
      <c r="Q56" s="319">
        <v>130651.05924785532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36611</v>
      </c>
      <c r="E57" s="319">
        <v>36611.07</v>
      </c>
      <c r="F57" s="319"/>
      <c r="G57" s="319"/>
      <c r="H57" s="319"/>
      <c r="I57" s="318"/>
      <c r="J57" s="318">
        <v>197311</v>
      </c>
      <c r="K57" s="319">
        <v>192511.59</v>
      </c>
      <c r="L57" s="319"/>
      <c r="M57" s="319"/>
      <c r="N57" s="319"/>
      <c r="O57" s="318"/>
      <c r="P57" s="318">
        <v>186421</v>
      </c>
      <c r="Q57" s="319">
        <v>176341.62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330268</v>
      </c>
      <c r="AU57" s="321">
        <v>244584634</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28459662.140000001</v>
      </c>
      <c r="D5" s="403">
        <v>34527222.399999999</v>
      </c>
      <c r="E5" s="454"/>
      <c r="F5" s="454"/>
      <c r="G5" s="448"/>
      <c r="H5" s="402">
        <v>82395828.579999998</v>
      </c>
      <c r="I5" s="403">
        <v>88733460.590000004</v>
      </c>
      <c r="J5" s="454"/>
      <c r="K5" s="454"/>
      <c r="L5" s="448"/>
      <c r="M5" s="402">
        <v>79961446.5</v>
      </c>
      <c r="N5" s="403">
        <v>79857381.489999995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28633319.866500001</v>
      </c>
      <c r="D6" s="398">
        <v>34090813.9745</v>
      </c>
      <c r="E6" s="400">
        <f>SUM('Pt 1 Summary of Data'!E$12,'Pt 1 Summary of Data'!E$22)+SUM('Pt 1 Summary of Data'!G$12,'Pt 1 Summary of Data'!G$22)-SUM('Pt 1 Summary of Data'!H$12,'Pt 1 Summary of Data'!H$22)</f>
        <v>16408880.776000001</v>
      </c>
      <c r="F6" s="400">
        <f t="shared" ref="F6:F11" si="0">SUM(C6:E6)</f>
        <v>79133014.617000014</v>
      </c>
      <c r="G6" s="401">
        <f>SUM('Pt 1 Summary of Data'!I$12,'Pt 1 Summary of Data'!I$22)</f>
        <v>0</v>
      </c>
      <c r="H6" s="397">
        <v>82514788.919653058</v>
      </c>
      <c r="I6" s="398">
        <v>88270549.384346262</v>
      </c>
      <c r="J6" s="400">
        <f>SUM('Pt 1 Summary of Data'!K$12,'Pt 1 Summary of Data'!K$22)+SUM('Pt 1 Summary of Data'!M$12,'Pt 1 Summary of Data'!M$22)-SUM('Pt 1 Summary of Data'!N$12,'Pt 1 Summary of Data'!N$22)</f>
        <v>86794831.214829937</v>
      </c>
      <c r="K6" s="400">
        <f>SUM(H6:J6)</f>
        <v>257580169.51882923</v>
      </c>
      <c r="L6" s="401">
        <f>SUM('Pt 1 Summary of Data'!O$12,'Pt 1 Summary of Data'!O$22)</f>
        <v>0</v>
      </c>
      <c r="M6" s="397">
        <v>79597821.978124425</v>
      </c>
      <c r="N6" s="398">
        <v>79463947.156651452</v>
      </c>
      <c r="O6" s="400">
        <f>SUM('Pt 1 Summary of Data'!Q$12,'Pt 1 Summary of Data'!Q$22)+SUM('Pt 1 Summary of Data'!S$12,'Pt 1 Summary of Data'!S$22)-SUM('Pt 1 Summary of Data'!T$12,'Pt 1 Summary of Data'!T$22)</f>
        <v>79055300.055322587</v>
      </c>
      <c r="P6" s="400">
        <f>SUM(M6:O6)</f>
        <v>238117069.19009846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522812.05</v>
      </c>
      <c r="D7" s="398">
        <v>419101.77</v>
      </c>
      <c r="E7" s="400">
        <f>SUM('Pt 1 Summary of Data'!E$37:E$41)+SUM('Pt 1 Summary of Data'!G$37:G$41)-SUM('Pt 1 Summary of Data'!H$37:H$41)+MAX(0,MIN('Pt 1 Summary of Data'!E$42+'Pt 1 Summary of Data'!G$42-'Pt 1 Summary of Data'!H$42,0.3%*('Pt 1 Summary of Data'!E$5+'Pt 1 Summary of Data'!G$5-'Pt 1 Summary of Data'!H$5-SUM(E$9:E$11))))</f>
        <v>284408.56</v>
      </c>
      <c r="F7" s="400">
        <f t="shared" si="0"/>
        <v>1226322.3800000001</v>
      </c>
      <c r="G7" s="401">
        <f>SUM('Pt 1 Summary of Data'!I$37:I$41)+MAX(0,MIN(VALUE('Pt 1 Summary of Data'!I$42),0.3%*('Pt 1 Summary of Data'!I$5-SUM(G$9:G$10))))</f>
        <v>0</v>
      </c>
      <c r="H7" s="397">
        <v>2529812.7000000002</v>
      </c>
      <c r="I7" s="398">
        <v>2610772.2799999998</v>
      </c>
      <c r="J7" s="400">
        <f>SUM('Pt 1 Summary of Data'!K$37:K$41)+SUM('Pt 1 Summary of Data'!M$37:M$41)-SUM('Pt 1 Summary of Data'!N$37:N$41)+MAX(0,MIN('Pt 1 Summary of Data'!K$42+'Pt 1 Summary of Data'!M$42-'Pt 1 Summary of Data'!N$42,0.3%*('Pt 1 Summary of Data'!K$5+'Pt 1 Summary of Data'!M$5-'Pt 1 Summary of Data'!N$5-SUM(J$10:J$11))))</f>
        <v>1986455.0412035547</v>
      </c>
      <c r="K7" s="400">
        <f>SUM(H7:J7)</f>
        <v>7127040.0212035552</v>
      </c>
      <c r="L7" s="401">
        <f>SUM('Pt 1 Summary of Data'!O$37:O$41)+MAX(0,MIN(VALUE('Pt 1 Summary of Data'!O$42),0.3%*('Pt 1 Summary of Data'!O$5-L$10)))</f>
        <v>0</v>
      </c>
      <c r="M7" s="397">
        <v>2020413.51</v>
      </c>
      <c r="N7" s="398">
        <v>2042768.64</v>
      </c>
      <c r="O7" s="400">
        <f>SUM('Pt 1 Summary of Data'!Q$37:Q$41)+SUM('Pt 1 Summary of Data'!S$37:S$41)-SUM('Pt 1 Summary of Data'!T$37:T$41)+MAX(0,MIN('Pt 1 Summary of Data'!Q$42+'Pt 1 Summary of Data'!S$42-'Pt 1 Summary of Data'!T$42,0.3%*('Pt 1 Summary of Data'!Q$5+'Pt 1 Summary of Data'!S$5-'Pt 1 Summary of Data'!T$5)))</f>
        <v>1771238.5387964451</v>
      </c>
      <c r="P7" s="400">
        <f>SUM(M7:O7)</f>
        <v>5834420.6887964448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3869243.82</v>
      </c>
      <c r="E9" s="400">
        <f>'Pt 2 Premium and Claims'!E$15+'Pt 2 Premium and Claims'!G$15-'Pt 2 Premium and Claims'!H$15</f>
        <v>1894133.6</v>
      </c>
      <c r="F9" s="400">
        <f t="shared" si="0"/>
        <v>5763377.4199999999</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3660246.43</v>
      </c>
      <c r="E10" s="400">
        <f>'Pt 2 Premium and Claims'!E$16+'Pt 2 Premium and Claims'!G$16-'Pt 2 Premium and Claims'!H$16</f>
        <v>596881.13</v>
      </c>
      <c r="F10" s="400">
        <f t="shared" si="0"/>
        <v>4257127.5600000005</v>
      </c>
      <c r="G10" s="401">
        <f>'Pt 2 Premium and Claims'!I$16</f>
        <v>0</v>
      </c>
      <c r="H10" s="443"/>
      <c r="I10" s="398">
        <v>2267328.0699999998</v>
      </c>
      <c r="J10" s="400">
        <f>'Pt 2 Premium and Claims'!K$16+'Pt 2 Premium and Claims'!M$16-'Pt 2 Premium and Claims'!N$16</f>
        <v>1292326.01</v>
      </c>
      <c r="K10" s="400">
        <f>SUM(H10:J10)</f>
        <v>3559654.08</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29156131.916500002</v>
      </c>
      <c r="D12" s="400">
        <f>SUM(D$6:D$7) - SUM(D$8:D$11)+IF(AND(OR('Company Information'!$C$12="District of Columbia",'Company Information'!$C$12="Massachusetts",'Company Information'!$C$12="Vermont"),SUM($C$6:$F$11,$C$15:$F$16,$C$38:$D$38)&lt;&gt;0),SUM(I$6:I$7) - SUM(I$10:I$11),0)</f>
        <v>26980425.494500004</v>
      </c>
      <c r="E12" s="400">
        <f>SUM(E$6:E$7)-SUM(E$8:E$11)+IF(AND(OR('Company Information'!$C$12="District of Columbia",'Company Information'!$C$12="Massachusetts",'Company Information'!$C$12="Vermont"),SUM($C$6:$F$11,$C$15:$F$16,$C$38:$D$38)&lt;&gt;0),SUM(J$6:J$7)-SUM(J$10:J$11),0)</f>
        <v>14202274.606000001</v>
      </c>
      <c r="F12" s="400">
        <f>IFERROR(SUM(C$12:E$12)+C$17*MAX(0,E$50-C$50)+D$17*MAX(0,E$50-D$50),0)</f>
        <v>70338832.017000005</v>
      </c>
      <c r="G12" s="447"/>
      <c r="H12" s="399">
        <f>SUM(H$6:H$7)+IF(AND(OR('Company Information'!$C$12="District of Columbia",'Company Information'!$C$12="Massachusetts",'Company Information'!$C$12="Vermont"),SUM($H$6:$K$11,$H$15:$K$16,$H$38:$I$38)&lt;&gt;0),SUM(C$6:C$7),0)</f>
        <v>85044601.619653061</v>
      </c>
      <c r="I12" s="400">
        <f>SUM(I$6:I$7) - SUM(I$10:I$11)+IF(AND(OR('Company Information'!$C$12="District of Columbia",'Company Information'!$C$12="Massachusetts",'Company Information'!$C$12="Vermont"),SUM($H$6:$K$11,$H$15:$K$16,$H$38:$I$38)&lt;&gt;0),SUM(D$6:D$7) - SUM(D$8:D$11),0)</f>
        <v>88613993.59434627</v>
      </c>
      <c r="J12" s="400">
        <f>SUM(J$6:J$7)-SUM(J$10:J$11)+IF(AND(OR('Company Information'!$C$12="District of Columbia",'Company Information'!$C$12="Massachusetts",'Company Information'!$C$12="Vermont"),SUM($H$6:$K$11,$H$15:$K$16,$H$38:$I$38)&lt;&gt;0),SUM(E$6:E$7)-SUM(E$8:E$11),0)</f>
        <v>87488960.24603349</v>
      </c>
      <c r="K12" s="400">
        <f>IFERROR(SUM(H$12:J$12)+H$17*MAX(0,J$50-H$50)+I$17*MAX(0,J$50-I$50),0)</f>
        <v>261147555.46003282</v>
      </c>
      <c r="L12" s="447"/>
      <c r="M12" s="399">
        <f>SUM(M$6:M$7)</f>
        <v>81618235.48812443</v>
      </c>
      <c r="N12" s="400">
        <f>SUM(N$6:N$7)</f>
        <v>81506715.796651453</v>
      </c>
      <c r="O12" s="400">
        <f>SUM(O$6:O$7)</f>
        <v>80826538.594119027</v>
      </c>
      <c r="P12" s="400">
        <f>SUM(M$12:O$12)+M$17*MAX(0,O$50-M$50)+N$17*MAX(0,O$50-N$50)</f>
        <v>243951489.87889493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30478117.73</v>
      </c>
      <c r="D15" s="403">
        <v>32234184.48</v>
      </c>
      <c r="E15" s="395">
        <f>SUM('Pt 1 Summary of Data'!E$5:E$7)+SUM('Pt 1 Summary of Data'!G$5:G$7)-SUM('Pt 1 Summary of Data'!H$5:H$7)-SUM(E$9:E$11)</f>
        <v>21773506.129999999</v>
      </c>
      <c r="F15" s="395">
        <f>SUM(C15:E15)</f>
        <v>84485808.340000004</v>
      </c>
      <c r="G15" s="396">
        <f>SUM('Pt 1 Summary of Data'!I$5:I$7)-SUM(G$9:G$10)</f>
        <v>0</v>
      </c>
      <c r="H15" s="402">
        <v>112021355.43000001</v>
      </c>
      <c r="I15" s="403">
        <v>115324094.17</v>
      </c>
      <c r="J15" s="395">
        <f>SUM('Pt 1 Summary of Data'!K$5:K$7)+SUM('Pt 1 Summary of Data'!M$5:M$7)-SUM('Pt 1 Summary of Data'!N$5:N$7)-SUM(J$10:J$11)</f>
        <v>115112889.21033971</v>
      </c>
      <c r="K15" s="395">
        <f>SUM(H15:J15)</f>
        <v>342458338.81033975</v>
      </c>
      <c r="L15" s="396">
        <f>SUM('Pt 1 Summary of Data'!O$5:O$7)-L$10</f>
        <v>0</v>
      </c>
      <c r="M15" s="402">
        <v>98473950.939999998</v>
      </c>
      <c r="N15" s="403">
        <v>101841098.93000001</v>
      </c>
      <c r="O15" s="395">
        <f>SUM('Pt 1 Summary of Data'!Q$5:Q$7)+SUM('Pt 1 Summary of Data'!S$5:S$7)-SUM('Pt 1 Summary of Data'!T$5:T$7)+N$56</f>
        <v>96143886.173184693</v>
      </c>
      <c r="P15" s="395">
        <f>SUM(M15:O15)</f>
        <v>296458936.0431847</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-2519962.36</v>
      </c>
      <c r="D16" s="398">
        <v>446156.51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1857073.2300796441</v>
      </c>
      <c r="F16" s="400">
        <f>SUM(C16:E16)</f>
        <v>-216732.61992035573</v>
      </c>
      <c r="G16" s="401">
        <f>SUM('Pt 1 Summary of Data'!I$25:I$28,'Pt 1 Summary of Data'!I$30,'Pt 1 Summary of Data'!I$34:I$35)+IF('Company Information'!$C$15="No",IF(MAX('Pt 1 Summary of Data'!I$31:I$32)=0,MIN('Pt 1 Summary of Data'!I$31:I$32),MAX('Pt 1 Summary of Data'!I$31:I$32)),SUM('Pt 1 Summary of Data'!I$31:I$32))</f>
        <v>0</v>
      </c>
      <c r="H16" s="397">
        <v>5814099.8200000003</v>
      </c>
      <c r="I16" s="398">
        <v>5949372.6600000001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11527179.238988046</v>
      </c>
      <c r="K16" s="400">
        <f>SUM(H16:J16)</f>
        <v>23290651.718988046</v>
      </c>
      <c r="L16" s="401">
        <f>SUM('Pt 1 Summary of Data'!O$25:O$28,'Pt 1 Summary of Data'!O$30,'Pt 1 Summary of Data'!O$34:O$35)+IF('Company Information'!$C$15="No",IF(MAX('Pt 1 Summary of Data'!O$31:O$32)=0,MIN('Pt 1 Summary of Data'!O$31:O$32),MAX('Pt 1 Summary of Data'!O$31:O$32)),SUM('Pt 1 Summary of Data'!O$31:O$32))</f>
        <v>0</v>
      </c>
      <c r="M16" s="397">
        <v>5064333.3899999997</v>
      </c>
      <c r="N16" s="398">
        <v>3635633.56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1643179.4912637323</v>
      </c>
      <c r="P16" s="400">
        <f>SUM(M16:O16)</f>
        <v>10343146.441263732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32998080.09</v>
      </c>
      <c r="D17" s="400">
        <f>D$15-D$16+IF(AND(OR('Company Information'!$C$12="District of Columbia",'Company Information'!$C$12="Massachusetts",'Company Information'!$C$12="Vermont"),SUM($C$6:$F$11,$C$15:$F$16,$C$38:$D$38)&lt;&gt;0),I$15-I$16,0)</f>
        <v>31788027.969999999</v>
      </c>
      <c r="E17" s="400">
        <f>E$15-E$16+IF(AND(OR('Company Information'!$C$12="District of Columbia",'Company Information'!$C$12="Massachusetts",'Company Information'!$C$12="Vermont"),SUM($C$6:$F$11,$C$15:$F$16,$C$38:$D$38)&lt;&gt;0),J$15-J$16,0)</f>
        <v>19916432.899920356</v>
      </c>
      <c r="F17" s="400">
        <f>F$15-F$16+IF(AND(OR('Company Information'!$C$12="District of Columbia",'Company Information'!$C$12="Massachusetts",'Company Information'!$C$12="Vermont"),SUM($C$6:$F$11,$C$15:$F$16,$C$38:$D$38)&lt;&gt;0),K$15-K$16,0)</f>
        <v>84702540.959920362</v>
      </c>
      <c r="G17" s="450"/>
      <c r="H17" s="399">
        <f>H$15-H$16+IF(AND(OR('Company Information'!$C$12="District of Columbia",'Company Information'!$C$12="Massachusetts",'Company Information'!$C$12="Vermont"),SUM($H$6:$K$11,$H$15:$K$16,$H$38:$I$38)&lt;&gt;0),C$15-C$16,0)</f>
        <v>106207255.61000001</v>
      </c>
      <c r="I17" s="400">
        <f>I$15-I$16+IF(AND(OR('Company Information'!$C$12="District of Columbia",'Company Information'!$C$12="Massachusetts",'Company Information'!$C$12="Vermont"),SUM($H$6:$K$11,$H$15:$K$16,$H$38:$I$38)&lt;&gt;0),D$15-D$16,0)</f>
        <v>109374721.51000001</v>
      </c>
      <c r="J17" s="400">
        <f>J$15-J$16+IF(AND(OR('Company Information'!$C$12="District of Columbia",'Company Information'!$C$12="Massachusetts",'Company Information'!$C$12="Vermont"),SUM($H$6:$K$11,$H$15:$K$16,$H$38:$I$38)&lt;&gt;0),E$15-E$16,0)</f>
        <v>103585709.97135167</v>
      </c>
      <c r="K17" s="400">
        <f>K$15-K$16+IF(AND(OR('Company Information'!$C$12="District of Columbia",'Company Information'!$C$12="Massachusetts",'Company Information'!$C$12="Vermont"),SUM($H$6:$K$11,$H$15:$K$16,$H$38:$I$38)&lt;&gt;0),F$15-F$16,0)</f>
        <v>319167687.09135169</v>
      </c>
      <c r="L17" s="450"/>
      <c r="M17" s="399">
        <f>M$15-M$16</f>
        <v>93409617.549999997</v>
      </c>
      <c r="N17" s="400">
        <f>N$15-N$16</f>
        <v>98205465.370000005</v>
      </c>
      <c r="O17" s="400">
        <f>O$15-O$16</f>
        <v>94500706.681920961</v>
      </c>
      <c r="P17" s="400">
        <f>P$15-P$16</f>
        <v>286115789.60192096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11090</v>
      </c>
      <c r="D38" s="405">
        <v>9865.5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4733.666666666667</v>
      </c>
      <c r="F38" s="432">
        <f>SUM(C$38:E$38)+IF(AND(OR('Company Information'!$C$12="District of Columbia",'Company Information'!$C$12="Massachusetts",'Company Information'!$C$12="Vermont"),SUM($C$6:$F$11,$C$15:$F$16,$C$38:$D$38)&lt;&gt;0,SUM(C$38:D$38)&lt;&gt;SUM(H$38:I$38)),SUM(H$38:I$38),0)</f>
        <v>25689.166666666668</v>
      </c>
      <c r="G38" s="448"/>
      <c r="H38" s="404">
        <v>26354</v>
      </c>
      <c r="I38" s="405">
        <v>25616.5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24241.333333333332</v>
      </c>
      <c r="K38" s="432">
        <f>SUM(H$38:J$38)+IF(AND(OR('Company Information'!$C$12="District of Columbia",'Company Information'!$C$12="Massachusetts",'Company Information'!$C$12="Vermont"),SUM($H$6:$K$11,$H$15:$K$16,$H$38:$I$38)&lt;&gt;0,SUM(H$38:I$38)&lt;&gt;SUM(C$38:D$38)),SUM(C$38:D$38),0)</f>
        <v>76211.833333333328</v>
      </c>
      <c r="L38" s="448"/>
      <c r="M38" s="404">
        <v>20088</v>
      </c>
      <c r="N38" s="405">
        <v>20222.75</v>
      </c>
      <c r="O38" s="432">
        <f>('Pt 1 Summary of Data'!Q$59+'Pt 1 Summary of Data'!S$59-'Pt 1 Summary of Data'!T$59)/12</f>
        <v>18824.166666666668</v>
      </c>
      <c r="P38" s="432">
        <f>SUM(M$38:O$38)</f>
        <v>59134.916666666672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1.5889733333333333E-2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7.6152399999999979E-3</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4906</v>
      </c>
      <c r="G40" s="447"/>
      <c r="H40" s="443"/>
      <c r="I40" s="441"/>
      <c r="J40" s="441"/>
      <c r="K40" s="398">
        <v>3043</v>
      </c>
      <c r="L40" s="447"/>
      <c r="M40" s="443"/>
      <c r="N40" s="441"/>
      <c r="O40" s="441"/>
      <c r="P40" s="398">
        <v>2221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1.3930511999999999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1.2156935999999998</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2.2135212087679997E-2</v>
      </c>
      <c r="G42" s="447"/>
      <c r="H42" s="443"/>
      <c r="I42" s="441"/>
      <c r="J42" s="441"/>
      <c r="K42" s="436">
        <f>IF(OR(K$38&lt;1000,K$38&gt;=75000),0,K$39*K$41)</f>
        <v>0</v>
      </c>
      <c r="L42" s="447"/>
      <c r="M42" s="443"/>
      <c r="N42" s="441"/>
      <c r="O42" s="441"/>
      <c r="P42" s="436">
        <f ca="1">IF(OR(P$38&lt;1000,P$38&gt;=75000),0,P$39*P$41)</f>
        <v>7.6152399999999979E-3</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0.88357055431645271</v>
      </c>
      <c r="D45" s="436">
        <f>IF(OR(D$38&lt;1000,D$17&lt;=0),"",D$12/D$17)</f>
        <v>0.84876059376702517</v>
      </c>
      <c r="E45" s="436">
        <f>IF(OR(E$38&lt;1000,E$17&lt;=0),"",E$12/E$17)</f>
        <v>0.71309328720489873</v>
      </c>
      <c r="F45" s="436">
        <f>IF(OR(F$38&lt;1000,F$17&lt;=0),"",F$12/F$17)</f>
        <v>0.83042174673700764</v>
      </c>
      <c r="G45" s="447"/>
      <c r="H45" s="438">
        <f>IF(OR(H$38&lt;1000,H$17&lt;=0),"",H$12/H$17)</f>
        <v>0.80074191853654897</v>
      </c>
      <c r="I45" s="436">
        <f>IF(OR(I$38&lt;1000,I$17&lt;=0),"",I$12/I$17)</f>
        <v>0.81018714718505036</v>
      </c>
      <c r="J45" s="436">
        <f>IF(OR(J$38&lt;1000,J$17&lt;=0),"",J$12/J$17)</f>
        <v>0.84460453348468623</v>
      </c>
      <c r="K45" s="436">
        <f>IF(OR(K$38&lt;1000,K$17&lt;=0),"",K$12/K$17)</f>
        <v>0.81821426799163277</v>
      </c>
      <c r="L45" s="447"/>
      <c r="M45" s="438">
        <f>IF(OR(M$38&lt;1000,M$17&lt;=0),"",M$12/M$17)</f>
        <v>0.87376693780419434</v>
      </c>
      <c r="N45" s="436">
        <f>IF(OR(N$38&lt;1000,N$17&lt;=0),"",N$12/N$17)</f>
        <v>0.82996109727259926</v>
      </c>
      <c r="O45" s="436">
        <f>IF(OR(O$38&lt;1000,O$17&lt;=0),"",O$12/O$17)</f>
        <v>0.8553008906713504</v>
      </c>
      <c r="P45" s="436">
        <f>IF(OR(P$38&lt;1000,P$17&lt;=0),"",P$12/P$17)</f>
        <v>0.85263204179786745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2.2135212087679997E-2</v>
      </c>
      <c r="G47" s="447"/>
      <c r="H47" s="443"/>
      <c r="I47" s="441"/>
      <c r="J47" s="441"/>
      <c r="K47" s="436">
        <f>IF(K$45="","",K$42)</f>
        <v>0</v>
      </c>
      <c r="L47" s="447"/>
      <c r="M47" s="443"/>
      <c r="N47" s="441"/>
      <c r="O47" s="441"/>
      <c r="P47" s="436">
        <f ca="1">IF(P$45="","",P$42)</f>
        <v>7.6152399999999979E-3</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0.85299999999999998</v>
      </c>
      <c r="G48" s="447"/>
      <c r="H48" s="443"/>
      <c r="I48" s="441"/>
      <c r="J48" s="441"/>
      <c r="K48" s="436">
        <f>IF(K$45="","",ROUND(K$45+MAX(0,K$47),3))</f>
        <v>0.81799999999999995</v>
      </c>
      <c r="L48" s="447"/>
      <c r="M48" s="443"/>
      <c r="N48" s="441"/>
      <c r="O48" s="441"/>
      <c r="P48" s="436">
        <f ca="1">IF(P$45="","",ROUND(P$45+MAX(0,P$47),3))</f>
        <v>0.86</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0.85299999999999998</v>
      </c>
      <c r="G51" s="447"/>
      <c r="H51" s="444"/>
      <c r="I51" s="442"/>
      <c r="J51" s="442"/>
      <c r="K51" s="436">
        <f>K$48</f>
        <v>0.81799999999999995</v>
      </c>
      <c r="L51" s="447"/>
      <c r="M51" s="444"/>
      <c r="N51" s="442"/>
      <c r="O51" s="442"/>
      <c r="P51" s="436">
        <f ca="1">P$48</f>
        <v>0.86</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19916432.899920356</v>
      </c>
      <c r="G52" s="447"/>
      <c r="H52" s="443"/>
      <c r="I52" s="441"/>
      <c r="J52" s="441"/>
      <c r="K52" s="400">
        <f>IF(K$38&lt;1000,"",MAX(0,J$15-J$16))</f>
        <v>103585709.97135167</v>
      </c>
      <c r="L52" s="447"/>
      <c r="M52" s="443"/>
      <c r="N52" s="441"/>
      <c r="O52" s="441"/>
      <c r="P52" s="400">
        <f>IF(P$38&lt;1000,"",MAX(0,O$15-O$16))</f>
        <v>94500706.681920961</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133891.09020000001</v>
      </c>
      <c r="D56" s="441"/>
      <c r="E56" s="441"/>
      <c r="F56" s="441"/>
      <c r="G56" s="447"/>
      <c r="H56" s="397">
        <v>407537.57393000001</v>
      </c>
      <c r="I56" s="441"/>
      <c r="J56" s="441"/>
      <c r="K56" s="441"/>
      <c r="L56" s="447"/>
      <c r="M56" s="397">
        <v>424767.17862000002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-11024.635060000001</v>
      </c>
      <c r="D57" s="441"/>
      <c r="E57" s="441"/>
      <c r="F57" s="441"/>
      <c r="G57" s="447"/>
      <c r="H57" s="397">
        <v>21058.627949999998</v>
      </c>
      <c r="I57" s="441"/>
      <c r="J57" s="441"/>
      <c r="K57" s="441"/>
      <c r="L57" s="447"/>
      <c r="M57" s="397">
        <v>21762.63538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2481</v>
      </c>
      <c r="D4" s="104">
        <f>'Pt 1 Summary of Data'!$K$56+'Pt 1 Summary of Data'!$M$56-'Pt 1 Summary of Data'!$N$56</f>
        <v>12687</v>
      </c>
      <c r="E4" s="104">
        <f>'Pt 1 Summary of Data'!$Q$56+'Pt 1 Summary of Data'!$S$56-'Pt 1 Summary of Data'!$T$56</f>
        <v>7987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