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P53" i="10"/>
  <c r="E11" i="16" s="1"/>
  <c r="AB52" i="10"/>
  <c r="X52" i="10"/>
  <c r="T52" i="10"/>
  <c r="P52" i="10"/>
  <c r="AB51" i="10"/>
  <c r="X51" i="10"/>
  <c r="T51" i="10"/>
  <c r="AB48" i="10"/>
  <c r="X48" i="10"/>
  <c r="T48" i="10"/>
  <c r="AB47" i="10"/>
  <c r="X47" i="10"/>
  <c r="T47" i="10"/>
  <c r="AB46" i="10"/>
  <c r="AA46" i="10"/>
  <c r="Z46" i="10"/>
  <c r="AB39" i="10" s="1"/>
  <c r="Y46" i="10"/>
  <c r="X46" i="10"/>
  <c r="W46" i="10"/>
  <c r="V46" i="10"/>
  <c r="U46" i="10"/>
  <c r="T46" i="10"/>
  <c r="S46" i="10"/>
  <c r="R46" i="10"/>
  <c r="Q46" i="10"/>
  <c r="P45" i="10"/>
  <c r="P48" i="10" s="1"/>
  <c r="P51" i="10" s="1"/>
  <c r="O45" i="10"/>
  <c r="N45" i="10"/>
  <c r="M45" i="10"/>
  <c r="AB42" i="10"/>
  <c r="X42" i="10"/>
  <c r="T42" i="10"/>
  <c r="P42" i="10"/>
  <c r="AB41" i="10"/>
  <c r="X41" i="10"/>
  <c r="T41" i="10"/>
  <c r="P41" i="10"/>
  <c r="K41" i="10"/>
  <c r="F41" i="10"/>
  <c r="X39" i="10"/>
  <c r="P39" i="10"/>
  <c r="AB38" i="10"/>
  <c r="AA38" i="10"/>
  <c r="X38" i="10"/>
  <c r="W38" i="10"/>
  <c r="T38" i="10"/>
  <c r="S38" i="10"/>
  <c r="P38" i="10"/>
  <c r="O38" i="10"/>
  <c r="L32" i="10"/>
  <c r="L27" i="10"/>
  <c r="L24" i="10"/>
  <c r="L23" i="10"/>
  <c r="L20" i="10"/>
  <c r="L19" i="10"/>
  <c r="L22" i="10" s="1"/>
  <c r="L30" i="10" s="1"/>
  <c r="L31" i="10" s="1"/>
  <c r="AB17" i="10"/>
  <c r="AA17" i="10"/>
  <c r="Z17" i="10"/>
  <c r="Y17" i="10"/>
  <c r="X17" i="10"/>
  <c r="W17" i="10"/>
  <c r="V17" i="10"/>
  <c r="U17" i="10"/>
  <c r="T17" i="10"/>
  <c r="S17" i="10"/>
  <c r="R17" i="10"/>
  <c r="Q17" i="10"/>
  <c r="P17" i="10"/>
  <c r="O17" i="10"/>
  <c r="N17" i="10"/>
  <c r="M17" i="10"/>
  <c r="AB16" i="10"/>
  <c r="AA16" i="10"/>
  <c r="X16" i="10"/>
  <c r="W16" i="10"/>
  <c r="T16" i="10"/>
  <c r="S16" i="10"/>
  <c r="R13" i="10" s="1"/>
  <c r="P16" i="10"/>
  <c r="O16" i="10"/>
  <c r="L16" i="10"/>
  <c r="K16" i="10"/>
  <c r="J16" i="10"/>
  <c r="G16" i="10"/>
  <c r="E16" i="10"/>
  <c r="F16" i="10" s="1"/>
  <c r="AB15" i="10"/>
  <c r="AA15" i="10"/>
  <c r="X15" i="10"/>
  <c r="W15" i="10"/>
  <c r="T15" i="10"/>
  <c r="S15" i="10"/>
  <c r="P15" i="10"/>
  <c r="O15" i="10"/>
  <c r="L15" i="10"/>
  <c r="AB13" i="10"/>
  <c r="AA13" i="10"/>
  <c r="Z13" i="10"/>
  <c r="Y13" i="10"/>
  <c r="V13" i="10"/>
  <c r="S13" i="10"/>
  <c r="P12" i="10"/>
  <c r="O12" i="10"/>
  <c r="N12" i="10"/>
  <c r="M12" i="10"/>
  <c r="K11" i="10"/>
  <c r="J11" i="10"/>
  <c r="E11" i="10"/>
  <c r="F11" i="10" s="1"/>
  <c r="L10" i="10"/>
  <c r="K10" i="10"/>
  <c r="J10" i="10"/>
  <c r="G10" i="10"/>
  <c r="F10" i="10"/>
  <c r="E10" i="10"/>
  <c r="G9" i="10"/>
  <c r="E9" i="10"/>
  <c r="F9" i="10" s="1"/>
  <c r="G8" i="10"/>
  <c r="F8" i="10"/>
  <c r="E8" i="10"/>
  <c r="AB7" i="10"/>
  <c r="AA7" i="10"/>
  <c r="X7" i="10"/>
  <c r="W7" i="10"/>
  <c r="T7" i="10"/>
  <c r="S7" i="10"/>
  <c r="P7" i="10"/>
  <c r="O7" i="10"/>
  <c r="L7" i="10"/>
  <c r="AB6" i="10"/>
  <c r="AA6" i="10"/>
  <c r="X6" i="10"/>
  <c r="W6" i="10"/>
  <c r="T6" i="10"/>
  <c r="S6" i="10"/>
  <c r="P6" i="10"/>
  <c r="O6" i="10"/>
  <c r="L6" i="10"/>
  <c r="K6" i="10"/>
  <c r="J6" i="10"/>
  <c r="G6" i="10"/>
  <c r="AU55" i="18"/>
  <c r="AT55" i="18"/>
  <c r="AT22" i="4" s="1"/>
  <c r="AS55" i="18"/>
  <c r="AS22" i="4" s="1"/>
  <c r="AC55" i="18"/>
  <c r="AC22" i="4" s="1"/>
  <c r="AB55" i="18"/>
  <c r="AB22" i="4" s="1"/>
  <c r="AA55" i="18"/>
  <c r="AA22" i="4" s="1"/>
  <c r="Z55" i="18"/>
  <c r="Z22" i="4" s="1"/>
  <c r="Y55" i="18"/>
  <c r="Y22" i="4" s="1"/>
  <c r="X55" i="18"/>
  <c r="X22" i="4" s="1"/>
  <c r="W55" i="18"/>
  <c r="W22" i="4" s="1"/>
  <c r="V55" i="18"/>
  <c r="V22" i="4" s="1"/>
  <c r="U55" i="18"/>
  <c r="U22" i="4" s="1"/>
  <c r="T55" i="18"/>
  <c r="T22" i="4" s="1"/>
  <c r="S55" i="18"/>
  <c r="R55" i="18"/>
  <c r="Q55" i="18"/>
  <c r="Q22" i="4" s="1"/>
  <c r="P55" i="18"/>
  <c r="P22" i="4" s="1"/>
  <c r="O55" i="18"/>
  <c r="N55" i="18"/>
  <c r="M55" i="18"/>
  <c r="L55" i="18"/>
  <c r="K55" i="18"/>
  <c r="J55" i="18"/>
  <c r="I55" i="18"/>
  <c r="H55" i="18"/>
  <c r="H22" i="4" s="1"/>
  <c r="G55" i="18"/>
  <c r="G22" i="4" s="1"/>
  <c r="F55" i="18"/>
  <c r="E55" i="18"/>
  <c r="E22" i="4" s="1"/>
  <c r="D55" i="18"/>
  <c r="D22" i="4" s="1"/>
  <c r="AU54" i="18"/>
  <c r="AT54" i="18"/>
  <c r="AS54" i="18"/>
  <c r="AS12" i="4" s="1"/>
  <c r="AC54" i="18"/>
  <c r="AC12" i="4" s="1"/>
  <c r="AB54" i="18"/>
  <c r="AB12" i="4" s="1"/>
  <c r="AA54" i="18"/>
  <c r="AA12" i="4" s="1"/>
  <c r="Z54" i="18"/>
  <c r="Z12" i="4" s="1"/>
  <c r="Y54" i="18"/>
  <c r="Y12" i="4" s="1"/>
  <c r="X54" i="18"/>
  <c r="X12" i="4" s="1"/>
  <c r="W54" i="18"/>
  <c r="W12" i="4" s="1"/>
  <c r="V54" i="18"/>
  <c r="V12" i="4" s="1"/>
  <c r="U54" i="18"/>
  <c r="U12" i="4" s="1"/>
  <c r="T54" i="18"/>
  <c r="T12" i="4" s="1"/>
  <c r="S54" i="18"/>
  <c r="S12" i="4" s="1"/>
  <c r="R54" i="18"/>
  <c r="R12" i="4" s="1"/>
  <c r="Q54" i="18"/>
  <c r="Q12" i="4" s="1"/>
  <c r="P54" i="18"/>
  <c r="P12" i="4" s="1"/>
  <c r="O54" i="18"/>
  <c r="O12" i="4" s="1"/>
  <c r="N54" i="18"/>
  <c r="N12" i="4" s="1"/>
  <c r="M54" i="18"/>
  <c r="M12" i="4" s="1"/>
  <c r="L54" i="18"/>
  <c r="L12" i="4" s="1"/>
  <c r="K54" i="18"/>
  <c r="K12" i="4" s="1"/>
  <c r="J54" i="18"/>
  <c r="J12" i="4" s="1"/>
  <c r="I54" i="18"/>
  <c r="I12" i="4" s="1"/>
  <c r="H54" i="18"/>
  <c r="H12" i="4" s="1"/>
  <c r="G54" i="18"/>
  <c r="G12" i="4" s="1"/>
  <c r="F54" i="18"/>
  <c r="F12" i="4" s="1"/>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S22" i="4"/>
  <c r="R22" i="4"/>
  <c r="O22" i="4"/>
  <c r="N22" i="4"/>
  <c r="M22" i="4"/>
  <c r="L22" i="4"/>
  <c r="K22" i="4"/>
  <c r="J22" i="4"/>
  <c r="I22" i="4"/>
  <c r="F22" i="4"/>
  <c r="AU12" i="4"/>
  <c r="AT12" i="4"/>
  <c r="AU5" i="4"/>
  <c r="AT5" i="4"/>
  <c r="AS5" i="4"/>
  <c r="AC5" i="4"/>
  <c r="AB5" i="4"/>
  <c r="AA5" i="4"/>
  <c r="Z5" i="4"/>
  <c r="Y5" i="4"/>
  <c r="X5" i="4"/>
  <c r="W5" i="4"/>
  <c r="V5" i="4"/>
  <c r="U5" i="4"/>
  <c r="T5" i="4"/>
  <c r="S5" i="4"/>
  <c r="R5" i="4"/>
  <c r="Q5" i="4"/>
  <c r="P5" i="4"/>
  <c r="O5" i="4"/>
  <c r="N5" i="4"/>
  <c r="M5" i="4"/>
  <c r="L5" i="4"/>
  <c r="K5" i="4"/>
  <c r="J5" i="4"/>
  <c r="I5" i="4"/>
  <c r="G15" i="10" s="1"/>
  <c r="H5" i="4"/>
  <c r="G5" i="4"/>
  <c r="F5" i="4"/>
  <c r="E5" i="4"/>
  <c r="D5" i="4"/>
  <c r="E6" i="10" l="1"/>
  <c r="F6" i="10" s="1"/>
  <c r="E15" i="10"/>
  <c r="F15" i="10" s="1"/>
  <c r="J15" i="10"/>
  <c r="K15" i="10" s="1"/>
  <c r="E7" i="10"/>
  <c r="G7" i="10"/>
  <c r="G27" i="10" s="1"/>
  <c r="J7" i="10"/>
  <c r="P47" i="10"/>
  <c r="G32" i="10"/>
  <c r="G19" i="10"/>
  <c r="T39" i="10"/>
  <c r="L29" i="10"/>
  <c r="L33" i="10" s="1"/>
  <c r="L34" i="10" s="1"/>
  <c r="L21" i="10"/>
  <c r="L26" i="10" s="1"/>
  <c r="L25" i="10" s="1"/>
  <c r="L28" i="10" s="1"/>
  <c r="X13" i="10"/>
  <c r="W13" i="10"/>
  <c r="T13" i="10"/>
  <c r="Q13" i="10"/>
  <c r="U13" i="10"/>
  <c r="G24" i="10" l="1"/>
  <c r="G23" i="10"/>
  <c r="K7" i="10"/>
  <c r="I17" i="10"/>
  <c r="I45" i="10" s="1"/>
  <c r="J38" i="10"/>
  <c r="H17" i="10"/>
  <c r="H45" i="10" s="1"/>
  <c r="H12" i="10"/>
  <c r="K17" i="10"/>
  <c r="F17" i="10"/>
  <c r="G20" i="10"/>
  <c r="G22" i="10" s="1"/>
  <c r="F7" i="10"/>
  <c r="C12" i="10" s="1"/>
  <c r="E38" i="10"/>
  <c r="C17" i="10"/>
  <c r="C45" i="10" s="1"/>
  <c r="E17" i="10"/>
  <c r="D17" i="10" l="1"/>
  <c r="D45" i="10" s="1"/>
  <c r="G30" i="10"/>
  <c r="G31" i="10" s="1"/>
  <c r="G29" i="10" s="1"/>
  <c r="G33" i="10" s="1"/>
  <c r="G34" i="10" s="1"/>
  <c r="G21" i="10"/>
  <c r="G26" i="10" s="1"/>
  <c r="G25" i="10" s="1"/>
  <c r="G28" i="10" s="1"/>
  <c r="F38" i="10"/>
  <c r="E45" i="10"/>
  <c r="K38" i="10"/>
  <c r="E12" i="10"/>
  <c r="D12" i="10"/>
  <c r="I12" i="10"/>
  <c r="J17" i="10"/>
  <c r="J45" i="10" s="1"/>
  <c r="J12" i="10"/>
  <c r="K12" i="10" l="1"/>
  <c r="F12" i="10"/>
  <c r="F52" i="10"/>
  <c r="F53" i="10"/>
  <c r="C11" i="16" s="1"/>
  <c r="F45" i="10"/>
  <c r="F39" i="10"/>
  <c r="F42" i="10"/>
  <c r="K39" i="10"/>
  <c r="K53" i="10"/>
  <c r="D11" i="16" s="1"/>
  <c r="K45" i="10"/>
  <c r="K42" i="10"/>
  <c r="K52" i="10"/>
  <c r="K48" i="10" l="1"/>
  <c r="K51" i="10" s="1"/>
  <c r="K47" i="10"/>
  <c r="F47" i="10"/>
  <c r="F48" i="10"/>
  <c r="F51" i="10" s="1"/>
</calcChain>
</file>

<file path=xl/sharedStrings.xml><?xml version="1.0" encoding="utf-8"?>
<sst xmlns="http://schemas.openxmlformats.org/spreadsheetml/2006/main" count="569" uniqueCount="508">
  <si>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</si>
  <si>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</si>
  <si>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</si>
  <si>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</si>
  <si>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</si>
  <si>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</si>
  <si>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</si>
  <si>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</si>
  <si>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</si>
  <si>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</si>
  <si>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</si>
  <si>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</si>
  <si>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</si>
  <si>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</si>
  <si>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</si>
  <si>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</si>
  <si>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</si>
  <si>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</si>
  <si>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</si>
  <si>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</si>
  <si>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</si>
  <si>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</si>
  <si>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</si>
  <si>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</si>
  <si>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</si>
  <si>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</si>
  <si>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</si>
  <si>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</si>
  <si>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</si>
  <si>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</si>
  <si>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</si>
  <si>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</si>
  <si>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</si>
  <si>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</si>
  <si>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</si>
  <si>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</si>
  <si>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</si>
  <si>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</si>
  <si>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</si>
  <si>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</si>
  <si>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</si>
  <si>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</si>
  <si>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</si>
  <si>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</si>
  <si>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</si>
  <si>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</si>
  <si>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</si>
  <si>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</si>
  <si>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</si>
  <si>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</si>
  <si>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</si>
  <si>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</si>
  <si>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</si>
  <si>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</si>
  <si>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</si>
  <si>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</si>
  <si>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</si>
  <si>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</si>
  <si>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</si>
  <si>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</si>
  <si>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</si>
  <si>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</si>
  <si>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</si>
  <si>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</si>
  <si>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</si>
  <si>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</si>
  <si>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</si>
  <si>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</si>
  <si>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</si>
  <si>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</si>
  <si>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</si>
  <si>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</si>
  <si>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</si>
  <si>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</si>
  <si>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</si>
  <si>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</si>
  <si>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</si>
  <si>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</si>
  <si>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</si>
  <si>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</si>
  <si>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</si>
  <si>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</si>
  <si>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</si>
  <si>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</si>
  <si>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</si>
  <si>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</si>
  <si>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</si>
  <si>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</si>
  <si>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</si>
  <si>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</si>
  <si>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</si>
  <si>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</si>
  <si>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</si>
  <si>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</si>
  <si>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</si>
  <si>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</si>
  <si>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</si>
  <si>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</si>
  <si>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</si>
  <si>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</si>
  <si>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</si>
  <si>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</si>
  <si>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</si>
  <si>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</si>
  <si>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</si>
  <si>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</si>
  <si>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</si>
  <si>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</si>
  <si>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</si>
  <si>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</si>
  <si>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</si>
  <si>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</si>
  <si>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</si>
  <si>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</si>
  <si>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</si>
  <si>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</si>
  <si>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</si>
  <si>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</si>
  <si>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</si>
  <si>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</si>
  <si>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</si>
  <si>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</si>
  <si>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</si>
  <si>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</si>
  <si>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</si>
  <si>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</si>
  <si>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</si>
  <si>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</si>
  <si>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</si>
  <si>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</si>
  <si>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</si>
  <si>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</si>
  <si>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</si>
  <si>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</si>
  <si>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</si>
  <si>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</si>
  <si>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</si>
  <si>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</si>
  <si>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</si>
  <si>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</si>
  <si>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</si>
  <si>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</si>
  <si>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</si>
  <si>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</si>
  <si>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</si>
  <si>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</si>
  <si>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</si>
  <si>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</si>
  <si>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</si>
  <si>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</si>
  <si>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</si>
  <si>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</si>
  <si>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</si>
  <si>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</si>
  <si>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</si>
  <si>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</si>
  <si>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</si>
  <si>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</si>
  <si>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</si>
  <si>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</si>
  <si>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</si>
  <si>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</si>
  <si>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</si>
  <si>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</si>
  <si>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</si>
  <si>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</si>
  <si>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</si>
  <si>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</si>
  <si>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</si>
  <si>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</si>
  <si>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</si>
  <si>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</si>
  <si>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</si>
  <si>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</si>
  <si>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</si>
  <si>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</si>
  <si>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</si>
  <si>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</si>
  <si>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</si>
  <si>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</si>
  <si>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</si>
  <si>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</si>
  <si>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</si>
  <si>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</si>
  <si>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</si>
  <si>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</si>
  <si>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</si>
  <si>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</si>
  <si>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</si>
  <si>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</si>
  <si>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</si>
  <si>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</si>
  <si>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</si>
  <si>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</si>
  <si>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</si>
  <si>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</si>
  <si>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</si>
  <si>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</si>
  <si>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</si>
  <si>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</si>
  <si>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</si>
  <si>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</si>
  <si>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</si>
  <si>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</si>
  <si>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</si>
  <si>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</si>
  <si>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</si>
  <si>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</si>
  <si>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</si>
  <si>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</si>
  <si>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</si>
  <si>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</si>
  <si>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</si>
  <si>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</si>
  <si>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</si>
  <si>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</si>
  <si>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</si>
  <si>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</si>
  <si>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</si>
  <si>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</si>
  <si>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</si>
  <si>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</si>
  <si>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</si>
  <si>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</si>
  <si>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</si>
  <si>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</si>
  <si>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</si>
  <si>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</si>
  <si>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</si>
  <si>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</si>
  <si>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</si>
  <si>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</si>
  <si>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</si>
  <si>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</si>
  <si>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</si>
  <si>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</si>
  <si>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</si>
  <si>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</si>
  <si>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</si>
  <si>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</si>
  <si>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</si>
  <si>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</si>
  <si>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</si>
  <si>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</si>
  <si>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</si>
  <si>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</si>
  <si>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</si>
  <si>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</si>
  <si>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</si>
  <si>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</si>
  <si>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</si>
  <si>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</si>
  <si>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</si>
  <si>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</si>
  <si>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</si>
  <si>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</si>
  <si>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</si>
  <si>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</si>
  <si>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</si>
  <si>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</si>
  <si>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</si>
  <si>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</si>
  <si>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</si>
  <si>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</si>
  <si>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</si>
  <si>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</si>
  <si>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</si>
  <si>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</si>
  <si>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</si>
  <si>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</si>
  <si>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</si>
  <si>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</si>
  <si>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</si>
  <si>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</si>
  <si>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</si>
  <si>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</si>
  <si>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</si>
  <si>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</si>
  <si>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</si>
  <si>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</si>
  <si>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</si>
  <si>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</si>
  <si>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</si>
  <si>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</si>
  <si>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</si>
  <si>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</si>
  <si>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</si>
  <si>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</si>
  <si>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</si>
  <si>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</si>
  <si>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</si>
  <si>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</si>
  <si>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</si>
  <si>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</si>
  <si>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</si>
  <si>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</si>
  <si>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</si>
  <si>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</si>
  <si>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</si>
  <si>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</si>
  <si>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</si>
  <si>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</si>
  <si>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</si>
  <si>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</si>
  <si>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</si>
  <si>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</si>
  <si>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</si>
  <si>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</si>
  <si>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</si>
  <si>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</si>
  <si>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</si>
  <si>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</si>
  <si>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</si>
  <si>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</si>
  <si>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</si>
  <si>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</si>
  <si>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</si>
  <si>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</si>
  <si>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</si>
  <si>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</si>
  <si>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</si>
  <si>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</si>
  <si>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</si>
  <si>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</si>
  <si>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</si>
  <si>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</si>
  <si>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</si>
  <si>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</si>
  <si>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</si>
  <si>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</si>
  <si>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</si>
  <si>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</si>
  <si>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</si>
  <si>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</si>
  <si>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</si>
  <si>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</si>
  <si>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</si>
  <si>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</si>
  <si>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</si>
  <si>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</si>
  <si>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</si>
  <si>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</si>
  <si>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</si>
  <si>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</si>
  <si>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</si>
  <si>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</si>
  <si>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</si>
  <si>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</si>
  <si>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</si>
  <si>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</si>
  <si>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</si>
  <si>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</si>
  <si>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</si>
  <si>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</si>
  <si>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</si>
  <si>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</si>
  <si>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</si>
  <si>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</si>
  <si>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</si>
  <si>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</si>
  <si>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</si>
  <si>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</si>
  <si>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</si>
  <si>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</si>
  <si>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</si>
  <si>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</si>
  <si>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</si>
  <si>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</si>
  <si>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</si>
  <si>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</si>
  <si>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</si>
  <si>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</si>
  <si>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</si>
  <si>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</si>
  <si>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</si>
  <si>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</si>
  <si>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</si>
  <si>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</si>
  <si>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</si>
  <si>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</si>
  <si>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</si>
  <si>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</si>
  <si>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</si>
  <si>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</si>
  <si>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</si>
  <si>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</si>
  <si>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</si>
  <si>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</si>
  <si>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</si>
  <si>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</si>
  <si>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</si>
  <si>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</si>
  <si>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</si>
  <si>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</si>
  <si>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</si>
  <si>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</si>
  <si>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</si>
  <si>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</si>
  <si>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</si>
  <si>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</si>
  <si>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</si>
  <si>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</si>
  <si>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</si>
  <si>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</si>
  <si>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</si>
  <si>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</si>
  <si>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</si>
  <si>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</si>
  <si>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</si>
  <si>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</si>
  <si>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</si>
  <si>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</si>
  <si>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</si>
  <si>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</si>
  <si>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</si>
  <si>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</si>
  <si>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</si>
  <si>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</si>
  <si>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</si>
  <si>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</si>
  <si>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</si>
  <si>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</si>
  <si>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</si>
  <si>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</si>
  <si>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</si>
  <si>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</si>
  <si>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</si>
  <si>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</si>
  <si>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</si>
  <si>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</si>
  <si>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</si>
  <si>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</si>
  <si>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</si>
  <si>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</si>
  <si>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</si>
  <si>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</si>
  <si>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</si>
  <si>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</si>
  <si>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</si>
  <si>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</si>
  <si>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</si>
  <si>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</si>
  <si>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</si>
  <si>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</si>
  <si>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</si>
  <si>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</si>
  <si>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</si>
  <si>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</si>
  <si>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</si>
  <si>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</si>
  <si>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</si>
  <si>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</si>
  <si>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</si>
  <si>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</si>
  <si>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</si>
  <si>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</si>
  <si>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</si>
  <si>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</si>
  <si>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</si>
  <si>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</si>
  <si>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</si>
  <si>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</si>
  <si>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</si>
  <si>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</si>
  <si>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</si>
  <si>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</si>
  <si>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</si>
  <si>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</si>
  <si>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</si>
  <si>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</si>
  <si>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</si>
  <si>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</si>
  <si>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</si>
  <si>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</si>
  <si>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</si>
  <si>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</si>
  <si>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</si>
  <si>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</si>
  <si>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</si>
  <si>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</si>
  <si>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</si>
  <si>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</si>
  <si>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</si>
  <si>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</si>
  <si>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</si>
  <si>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</si>
  <si>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</si>
  <si>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</si>
  <si>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</si>
  <si>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</si>
  <si>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</si>
  <si>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</si>
  <si>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</si>
  <si>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</si>
  <si>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</si>
  <si>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</si>
  <si>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 xml:space="preserve">Kanawha Insurance Company </t>
  </si>
  <si>
    <t>HUMANA GRP</t>
  </si>
  <si>
    <t>Humana</t>
  </si>
  <si>
    <t>119</t>
  </si>
  <si>
    <t>2015</t>
  </si>
  <si>
    <t>210 South White Street Lancaster, SC 29720</t>
  </si>
  <si>
    <t>570380426</t>
  </si>
  <si>
    <t>065110</t>
  </si>
  <si>
    <t>65110</t>
  </si>
  <si>
    <t>91975</t>
  </si>
  <si>
    <t>475</t>
  </si>
  <si>
    <t>METROPOLITAN LIFE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</si>
</sst>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14" fontId="0" fillId="0" borderId="16" xfId="0" applyNumberFormat="1"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167</v>
      </c>
    </row>
    <row r="13" spans="1:6" x14ac:dyDescent="0.2">
      <c r="B13" s="147" t="s">
        <v>50</v>
      </c>
      <c r="C13" s="480" t="s">
        <v>183</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2205</v>
      </c>
      <c r="E5" s="213">
        <f>SUM('Pt 2 Premium and Claims'!E$5,'Pt 2 Premium and Claims'!E$6,-'Pt 2 Premium and Claims'!E$7,-'Pt 2 Premium and Claims'!E$13,'Pt 2 Premium and Claims'!E$14:'Pt 2 Premium and Claims'!E$17)</f>
        <v>2205</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0</v>
      </c>
      <c r="K5" s="213">
        <f>SUM('Pt 2 Premium and Claims'!K$5,'Pt 2 Premium and Claims'!K$6,-'Pt 2 Premium and Claims'!K$7,-'Pt 2 Premium and Claims'!K$13,'Pt 2 Premium and Claims'!K$14,'Pt 2 Premium and Claims'!K$16:'Pt 2 Premium and Claims'!K$17)</f>
        <v>0</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0</v>
      </c>
      <c r="Q5" s="213">
        <f>SUM('Pt 2 Premium and Claims'!Q$5,'Pt 2 Premium and Claims'!Q$6,-'Pt 2 Premium and Claims'!Q$7,-'Pt 2 Premium and Claims'!Q$13,'Pt 2 Premium and Claims'!Q$14)</f>
        <v>0</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86611</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v>0</v>
      </c>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c r="G7" s="217"/>
      <c r="H7" s="217"/>
      <c r="I7" s="216"/>
      <c r="J7" s="216">
        <v>0</v>
      </c>
      <c r="K7" s="217"/>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-27</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-66822</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51</v>
      </c>
      <c r="E12" s="213">
        <f>'Pt 2 Premium and Claims'!E$54</f>
        <v>51</v>
      </c>
      <c r="F12" s="213">
        <f>'Pt 2 Premium and Claims'!F$54</f>
        <v>0</v>
      </c>
      <c r="G12" s="213">
        <f>'Pt 2 Premium and Claims'!G$54</f>
        <v>0</v>
      </c>
      <c r="H12" s="213">
        <f>'Pt 2 Premium and Claims'!H$54</f>
        <v>0</v>
      </c>
      <c r="I12" s="212">
        <f>'Pt 2 Premium and Claims'!I$54</f>
        <v>0</v>
      </c>
      <c r="J12" s="212">
        <f>'Pt 2 Premium and Claims'!J$54</f>
        <v>0</v>
      </c>
      <c r="K12" s="213">
        <f>'Pt 2 Premium and Claims'!K$54</f>
        <v>0</v>
      </c>
      <c r="L12" s="213">
        <f>'Pt 2 Premium and Claims'!L$54</f>
        <v>0</v>
      </c>
      <c r="M12" s="213">
        <f>'Pt 2 Premium and Claims'!M$54</f>
        <v>0</v>
      </c>
      <c r="N12" s="213">
        <f>'Pt 2 Premium and Claims'!N$54</f>
        <v>0</v>
      </c>
      <c r="O12" s="212">
        <f>'Pt 2 Premium and Claims'!O$54</f>
        <v>0</v>
      </c>
      <c r="P12" s="212">
        <f>'Pt 2 Premium and Claims'!P$54</f>
        <v>0</v>
      </c>
      <c r="Q12" s="213">
        <f>'Pt 2 Premium and Claims'!Q$54</f>
        <v>0</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50016</v>
      </c>
      <c r="AU12" s="214">
        <f>'Pt 2 Premium and Claims'!AU$54</f>
        <v>0</v>
      </c>
      <c r="AV12" s="291"/>
      <c r="AW12" s="296"/>
    </row>
    <row r="13" spans="1:49" ht="25.5" x14ac:dyDescent="0.2">
      <c r="B13" s="239" t="s">
        <v>230</v>
      </c>
      <c r="C13" s="203" t="s">
        <v>37</v>
      </c>
      <c r="D13" s="216">
        <v>0</v>
      </c>
      <c r="E13" s="217">
        <v>0</v>
      </c>
      <c r="F13" s="217"/>
      <c r="G13" s="268"/>
      <c r="H13" s="269"/>
      <c r="I13" s="216"/>
      <c r="J13" s="216">
        <v>0</v>
      </c>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0</v>
      </c>
      <c r="E14" s="217">
        <v>0</v>
      </c>
      <c r="F14" s="217"/>
      <c r="G14" s="267"/>
      <c r="H14" s="270"/>
      <c r="I14" s="216"/>
      <c r="J14" s="216">
        <v>0</v>
      </c>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c r="G15" s="267"/>
      <c r="H15" s="273"/>
      <c r="I15" s="216"/>
      <c r="J15" s="216">
        <v>0</v>
      </c>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53</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-21458</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39</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10</v>
      </c>
      <c r="E25" s="217">
        <v>10</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311.82</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23</v>
      </c>
      <c r="E30" s="217">
        <v>23</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38.020000000000003</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739.76</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7</v>
      </c>
      <c r="E35" s="217">
        <v>7</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748.35</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v>
      </c>
      <c r="K37" s="225"/>
      <c r="L37" s="225"/>
      <c r="M37" s="225"/>
      <c r="N37" s="225"/>
      <c r="O37" s="224"/>
      <c r="P37" s="224">
        <v>0</v>
      </c>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0</v>
      </c>
      <c r="E38" s="217">
        <v>0</v>
      </c>
      <c r="F38" s="217"/>
      <c r="G38" s="217"/>
      <c r="H38" s="217"/>
      <c r="I38" s="216"/>
      <c r="J38" s="216">
        <v>0</v>
      </c>
      <c r="K38" s="217"/>
      <c r="L38" s="217"/>
      <c r="M38" s="217"/>
      <c r="N38" s="217"/>
      <c r="O38" s="216"/>
      <c r="P38" s="216">
        <v>0</v>
      </c>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v>
      </c>
      <c r="E39" s="217">
        <v>0</v>
      </c>
      <c r="F39" s="217"/>
      <c r="G39" s="217"/>
      <c r="H39" s="217"/>
      <c r="I39" s="216"/>
      <c r="J39" s="216">
        <v>0</v>
      </c>
      <c r="K39" s="217"/>
      <c r="L39" s="217"/>
      <c r="M39" s="217"/>
      <c r="N39" s="217"/>
      <c r="O39" s="216"/>
      <c r="P39" s="216">
        <v>0</v>
      </c>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x14ac:dyDescent="0.2">
      <c r="B40" s="242" t="s">
        <v>256</v>
      </c>
      <c r="C40" s="203" t="s">
        <v>38</v>
      </c>
      <c r="D40" s="216">
        <v>0</v>
      </c>
      <c r="E40" s="217">
        <v>0</v>
      </c>
      <c r="F40" s="217"/>
      <c r="G40" s="217"/>
      <c r="H40" s="217"/>
      <c r="I40" s="216"/>
      <c r="J40" s="216">
        <v>0</v>
      </c>
      <c r="K40" s="217"/>
      <c r="L40" s="217"/>
      <c r="M40" s="217"/>
      <c r="N40" s="217"/>
      <c r="O40" s="216"/>
      <c r="P40" s="216">
        <v>0</v>
      </c>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71</v>
      </c>
      <c r="AU40" s="220">
        <v>0</v>
      </c>
      <c r="AV40" s="220">
        <v>0</v>
      </c>
      <c r="AW40" s="297"/>
    </row>
    <row r="41" spans="1:49" s="5" customFormat="1" ht="25.5" x14ac:dyDescent="0.2">
      <c r="A41" s="35"/>
      <c r="B41" s="242" t="s">
        <v>257</v>
      </c>
      <c r="C41" s="203" t="s">
        <v>129</v>
      </c>
      <c r="D41" s="216">
        <v>0</v>
      </c>
      <c r="E41" s="217">
        <v>0</v>
      </c>
      <c r="F41" s="217"/>
      <c r="G41" s="217"/>
      <c r="H41" s="217"/>
      <c r="I41" s="216"/>
      <c r="J41" s="216">
        <v>0</v>
      </c>
      <c r="K41" s="217"/>
      <c r="L41" s="217"/>
      <c r="M41" s="217"/>
      <c r="N41" s="217"/>
      <c r="O41" s="216"/>
      <c r="P41" s="216">
        <v>0</v>
      </c>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189</v>
      </c>
      <c r="AU41" s="220">
        <v>0</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v>0</v>
      </c>
      <c r="K44" s="225"/>
      <c r="L44" s="225"/>
      <c r="M44" s="225"/>
      <c r="N44" s="225"/>
      <c r="O44" s="224"/>
      <c r="P44" s="224">
        <v>0</v>
      </c>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2</v>
      </c>
      <c r="AU44" s="226">
        <v>0</v>
      </c>
      <c r="AV44" s="226">
        <v>0</v>
      </c>
      <c r="AW44" s="296"/>
    </row>
    <row r="45" spans="1:49" x14ac:dyDescent="0.2">
      <c r="B45" s="245" t="s">
        <v>261</v>
      </c>
      <c r="C45" s="203" t="s">
        <v>19</v>
      </c>
      <c r="D45" s="216">
        <v>0</v>
      </c>
      <c r="E45" s="217">
        <v>0</v>
      </c>
      <c r="F45" s="217"/>
      <c r="G45" s="217"/>
      <c r="H45" s="217"/>
      <c r="I45" s="216"/>
      <c r="J45" s="216">
        <v>0</v>
      </c>
      <c r="K45" s="217"/>
      <c r="L45" s="217"/>
      <c r="M45" s="217"/>
      <c r="N45" s="217"/>
      <c r="O45" s="216"/>
      <c r="P45" s="216">
        <v>0</v>
      </c>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683</v>
      </c>
      <c r="AU45" s="220">
        <v>0</v>
      </c>
      <c r="AV45" s="220">
        <v>0</v>
      </c>
      <c r="AW45" s="297"/>
    </row>
    <row r="46" spans="1:49" x14ac:dyDescent="0.2">
      <c r="B46" s="245" t="s">
        <v>262</v>
      </c>
      <c r="C46" s="203" t="s">
        <v>20</v>
      </c>
      <c r="D46" s="216">
        <v>35</v>
      </c>
      <c r="E46" s="217">
        <v>35</v>
      </c>
      <c r="F46" s="217"/>
      <c r="G46" s="217"/>
      <c r="H46" s="217"/>
      <c r="I46" s="216"/>
      <c r="J46" s="216">
        <v>0</v>
      </c>
      <c r="K46" s="217"/>
      <c r="L46" s="217"/>
      <c r="M46" s="217"/>
      <c r="N46" s="217"/>
      <c r="O46" s="216"/>
      <c r="P46" s="216">
        <v>0</v>
      </c>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1841</v>
      </c>
      <c r="AU46" s="220">
        <v>0</v>
      </c>
      <c r="AV46" s="220">
        <v>0</v>
      </c>
      <c r="AW46" s="297"/>
    </row>
    <row r="47" spans="1:49" x14ac:dyDescent="0.2">
      <c r="B47" s="245" t="s">
        <v>263</v>
      </c>
      <c r="C47" s="203" t="s">
        <v>21</v>
      </c>
      <c r="D47" s="216">
        <v>226</v>
      </c>
      <c r="E47" s="217">
        <v>226</v>
      </c>
      <c r="F47" s="217"/>
      <c r="G47" s="217"/>
      <c r="H47" s="217"/>
      <c r="I47" s="216"/>
      <c r="J47" s="216">
        <v>0</v>
      </c>
      <c r="K47" s="217"/>
      <c r="L47" s="217"/>
      <c r="M47" s="217"/>
      <c r="N47" s="217"/>
      <c r="O47" s="216"/>
      <c r="P47" s="216">
        <v>0</v>
      </c>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11953</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-0.49</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-261</v>
      </c>
      <c r="E51" s="217">
        <v>-261</v>
      </c>
      <c r="F51" s="217"/>
      <c r="G51" s="217"/>
      <c r="H51" s="217"/>
      <c r="I51" s="216"/>
      <c r="J51" s="216">
        <v>0</v>
      </c>
      <c r="K51" s="217"/>
      <c r="L51" s="217"/>
      <c r="M51" s="217"/>
      <c r="N51" s="217"/>
      <c r="O51" s="216"/>
      <c r="P51" s="216">
        <v>0</v>
      </c>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-13781</v>
      </c>
      <c r="AU51" s="220">
        <v>0</v>
      </c>
      <c r="AV51" s="220">
        <v>0</v>
      </c>
      <c r="AW51" s="297"/>
    </row>
    <row r="52" spans="2:49" ht="25.5" x14ac:dyDescent="0.2">
      <c r="B52" s="239" t="s">
        <v>267</v>
      </c>
      <c r="C52" s="203" t="s">
        <v>89</v>
      </c>
      <c r="D52" s="216">
        <v>0</v>
      </c>
      <c r="E52" s="217">
        <v>0</v>
      </c>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v>
      </c>
      <c r="E56" s="229">
        <v>3</v>
      </c>
      <c r="F56" s="229"/>
      <c r="G56" s="229"/>
      <c r="H56" s="229"/>
      <c r="I56" s="228"/>
      <c r="J56" s="228">
        <v>0</v>
      </c>
      <c r="K56" s="229"/>
      <c r="L56" s="229"/>
      <c r="M56" s="229"/>
      <c r="N56" s="229"/>
      <c r="O56" s="228"/>
      <c r="P56" s="228">
        <v>0</v>
      </c>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187</v>
      </c>
      <c r="AU56" s="230">
        <v>0</v>
      </c>
      <c r="AV56" s="230">
        <v>0</v>
      </c>
      <c r="AW56" s="288"/>
    </row>
    <row r="57" spans="2:49" x14ac:dyDescent="0.2">
      <c r="B57" s="245" t="s">
        <v>272</v>
      </c>
      <c r="C57" s="203" t="s">
        <v>25</v>
      </c>
      <c r="D57" s="231">
        <v>5</v>
      </c>
      <c r="E57" s="232">
        <v>5</v>
      </c>
      <c r="F57" s="232"/>
      <c r="G57" s="232"/>
      <c r="H57" s="232"/>
      <c r="I57" s="231"/>
      <c r="J57" s="231">
        <v>0</v>
      </c>
      <c r="K57" s="232"/>
      <c r="L57" s="232"/>
      <c r="M57" s="232"/>
      <c r="N57" s="232"/>
      <c r="O57" s="231"/>
      <c r="P57" s="231">
        <v>0</v>
      </c>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293</v>
      </c>
      <c r="AU57" s="233">
        <v>0</v>
      </c>
      <c r="AV57" s="233">
        <v>0</v>
      </c>
      <c r="AW57" s="289"/>
    </row>
    <row r="58" spans="2:49" x14ac:dyDescent="0.2">
      <c r="B58" s="245" t="s">
        <v>273</v>
      </c>
      <c r="C58" s="203" t="s">
        <v>26</v>
      </c>
      <c r="D58" s="309"/>
      <c r="E58" s="310"/>
      <c r="F58" s="310"/>
      <c r="G58" s="310"/>
      <c r="H58" s="310"/>
      <c r="I58" s="309"/>
      <c r="J58" s="231">
        <v>0</v>
      </c>
      <c r="K58" s="232"/>
      <c r="L58" s="232"/>
      <c r="M58" s="232"/>
      <c r="N58" s="232"/>
      <c r="O58" s="231"/>
      <c r="P58" s="231">
        <v>0</v>
      </c>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4</v>
      </c>
      <c r="AU58" s="233">
        <v>0</v>
      </c>
      <c r="AV58" s="233">
        <v>0</v>
      </c>
      <c r="AW58" s="289"/>
    </row>
    <row r="59" spans="2:49" x14ac:dyDescent="0.2">
      <c r="B59" s="245" t="s">
        <v>274</v>
      </c>
      <c r="C59" s="203" t="s">
        <v>27</v>
      </c>
      <c r="D59" s="231">
        <v>54</v>
      </c>
      <c r="E59" s="232">
        <v>54</v>
      </c>
      <c r="F59" s="232"/>
      <c r="G59" s="232"/>
      <c r="H59" s="232"/>
      <c r="I59" s="231"/>
      <c r="J59" s="231">
        <v>0</v>
      </c>
      <c r="K59" s="232"/>
      <c r="L59" s="232"/>
      <c r="M59" s="232"/>
      <c r="N59" s="232"/>
      <c r="O59" s="231"/>
      <c r="P59" s="231">
        <v>0</v>
      </c>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3663</v>
      </c>
      <c r="AU59" s="233">
        <v>0</v>
      </c>
      <c r="AV59" s="233">
        <v>0</v>
      </c>
      <c r="AW59" s="289"/>
    </row>
    <row r="60" spans="2:49" x14ac:dyDescent="0.2">
      <c r="B60" s="245" t="s">
        <v>275</v>
      </c>
      <c r="C60" s="203"/>
      <c r="D60" s="234">
        <f t="shared" ref="D60:AC60" si="0">D$59/12</f>
        <v>4.5</v>
      </c>
      <c r="E60" s="235">
        <f t="shared" si="0"/>
        <v>4.5</v>
      </c>
      <c r="F60" s="235">
        <f t="shared" si="0"/>
        <v>0</v>
      </c>
      <c r="G60" s="235">
        <f t="shared" si="0"/>
        <v>0</v>
      </c>
      <c r="H60" s="235">
        <f t="shared" si="0"/>
        <v>0</v>
      </c>
      <c r="I60" s="234">
        <f t="shared" si="0"/>
        <v>0</v>
      </c>
      <c r="J60" s="234">
        <f t="shared" si="0"/>
        <v>0</v>
      </c>
      <c r="K60" s="235">
        <f t="shared" si="0"/>
        <v>0</v>
      </c>
      <c r="L60" s="235">
        <f t="shared" si="0"/>
        <v>0</v>
      </c>
      <c r="M60" s="235">
        <f t="shared" si="0"/>
        <v>0</v>
      </c>
      <c r="N60" s="235">
        <f t="shared" si="0"/>
        <v>0</v>
      </c>
      <c r="O60" s="234">
        <f t="shared" si="0"/>
        <v>0</v>
      </c>
      <c r="P60" s="234">
        <f t="shared" si="0"/>
        <v>0</v>
      </c>
      <c r="Q60" s="235">
        <f t="shared" si="0"/>
        <v>0</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305.25</v>
      </c>
      <c r="AU60" s="236">
        <f>AU$59/12</f>
        <v>0</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39895</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-5710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2186</v>
      </c>
      <c r="E5" s="326">
        <v>2186</v>
      </c>
      <c r="F5" s="326"/>
      <c r="G5" s="328"/>
      <c r="H5" s="328"/>
      <c r="I5" s="325"/>
      <c r="J5" s="325">
        <v>0</v>
      </c>
      <c r="K5" s="326"/>
      <c r="L5" s="326"/>
      <c r="M5" s="326"/>
      <c r="N5" s="326"/>
      <c r="O5" s="325"/>
      <c r="P5" s="325">
        <v>0</v>
      </c>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85990</v>
      </c>
      <c r="AU5" s="327">
        <v>0</v>
      </c>
      <c r="AV5" s="369"/>
      <c r="AW5" s="373"/>
    </row>
    <row r="6" spans="2:49" x14ac:dyDescent="0.2">
      <c r="B6" s="343" t="s">
        <v>278</v>
      </c>
      <c r="C6" s="331" t="s">
        <v>8</v>
      </c>
      <c r="D6" s="318">
        <v>69</v>
      </c>
      <c r="E6" s="319">
        <v>69</v>
      </c>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4371</v>
      </c>
      <c r="AU6" s="321">
        <v>0</v>
      </c>
      <c r="AV6" s="368"/>
      <c r="AW6" s="374"/>
    </row>
    <row r="7" spans="2:49" x14ac:dyDescent="0.2">
      <c r="B7" s="343" t="s">
        <v>279</v>
      </c>
      <c r="C7" s="331" t="s">
        <v>9</v>
      </c>
      <c r="D7" s="318">
        <v>50</v>
      </c>
      <c r="E7" s="319">
        <v>50</v>
      </c>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3750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1467</v>
      </c>
      <c r="AU18" s="321">
        <v>0</v>
      </c>
      <c r="AV18" s="368"/>
      <c r="AW18" s="374"/>
    </row>
    <row r="19" spans="2:49" ht="25.5" x14ac:dyDescent="0.2">
      <c r="B19" s="345" t="s">
        <v>306</v>
      </c>
      <c r="C19" s="331"/>
      <c r="D19" s="318">
        <v>0</v>
      </c>
      <c r="E19" s="319">
        <v>0</v>
      </c>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-60396</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28460</v>
      </c>
      <c r="AU23" s="321">
        <v>0</v>
      </c>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389</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16857</v>
      </c>
      <c r="AU26" s="321">
        <v>0</v>
      </c>
      <c r="AV26" s="368"/>
      <c r="AW26" s="374"/>
    </row>
    <row r="27" spans="2:49" s="5" customFormat="1" ht="25.5" x14ac:dyDescent="0.2">
      <c r="B27" s="345" t="s">
        <v>85</v>
      </c>
      <c r="C27" s="331"/>
      <c r="D27" s="365"/>
      <c r="E27" s="319">
        <v>3</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386</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16752</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661</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128120</v>
      </c>
      <c r="AU30" s="321">
        <v>0</v>
      </c>
      <c r="AV30" s="368"/>
      <c r="AW30" s="374"/>
    </row>
    <row r="31" spans="2:49" s="5" customFormat="1" ht="25.5" x14ac:dyDescent="0.2">
      <c r="B31" s="345" t="s">
        <v>84</v>
      </c>
      <c r="C31" s="331"/>
      <c r="D31" s="365"/>
      <c r="E31" s="319">
        <v>28</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633</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122545</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687</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539596</v>
      </c>
      <c r="AU34" s="321">
        <v>0</v>
      </c>
      <c r="AV34" s="368"/>
      <c r="AW34" s="374"/>
    </row>
    <row r="35" spans="2:49" s="5" customFormat="1" x14ac:dyDescent="0.2">
      <c r="B35" s="345" t="s">
        <v>91</v>
      </c>
      <c r="C35" s="331"/>
      <c r="D35" s="365"/>
      <c r="E35" s="319">
        <v>687</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667</v>
      </c>
      <c r="E36" s="319">
        <v>667</v>
      </c>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523720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51</v>
      </c>
      <c r="E54" s="323">
        <f>E24+E27+E31+E35-E36+E39+E42+E45+E46-E49+E51+E52+E53</f>
        <v>51</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0</v>
      </c>
      <c r="K54" s="323">
        <f>K24+K27+K31+K35-K36+K39+K42+K45+K46-K49+K51+K52+K53</f>
        <v>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0</v>
      </c>
      <c r="Q54" s="323">
        <f>Q24+Q27+Q31+Q35-Q36+Q39+Q42+Q45+Q46-Q49+Q51+Q52+Q53</f>
        <v>0</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50016</v>
      </c>
      <c r="AU54" s="324">
        <f>AU23+AU26-AU28+AU30-AU32+AU34-AU36+AU38+AU41-AU43+AU45+AU46-AU47-AU49+AU50+AU51+AU52+AU53</f>
        <v>0</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0</v>
      </c>
      <c r="K55" s="323">
        <f t="shared" si="0"/>
        <v>0</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-1910</v>
      </c>
      <c r="D5" s="403">
        <v>1686</v>
      </c>
      <c r="E5" s="454"/>
      <c r="F5" s="454"/>
      <c r="G5" s="448"/>
      <c r="H5" s="402"/>
      <c r="I5" s="403">
        <v>0</v>
      </c>
      <c r="J5" s="454"/>
      <c r="K5" s="454"/>
      <c r="L5" s="448"/>
      <c r="M5" s="402"/>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-1910</v>
      </c>
      <c r="D6" s="398">
        <v>1686</v>
      </c>
      <c r="E6" s="400">
        <f>SUM('Pt 1 Summary of Data'!E$12,'Pt 1 Summary of Data'!E$22)+SUM('Pt 1 Summary of Data'!G$12,'Pt 1 Summary of Data'!G$22)-SUM('Pt 1 Summary of Data'!H$12,'Pt 1 Summary of Data'!H$22)</f>
        <v>51</v>
      </c>
      <c r="F6" s="400">
        <f t="shared" ref="F6:F11" si="0">SUM(C6:E6)</f>
        <v>-173</v>
      </c>
      <c r="G6" s="401">
        <f>SUM('Pt 1 Summary of Data'!I$12,'Pt 1 Summary of Data'!I$22)</f>
        <v>0</v>
      </c>
      <c r="H6" s="397"/>
      <c r="I6" s="398">
        <v>0</v>
      </c>
      <c r="J6" s="400">
        <f>SUM('Pt 1 Summary of Data'!K$12,'Pt 1 Summary of Data'!K$22)+SUM('Pt 1 Summary of Data'!M$12,'Pt 1 Summary of Data'!M$22)-SUM('Pt 1 Summary of Data'!N$12,'Pt 1 Summary of Data'!N$22)</f>
        <v>0</v>
      </c>
      <c r="K6" s="400">
        <f>SUM(H6:J6)</f>
        <v>0</v>
      </c>
      <c r="L6" s="401">
        <f>SUM('Pt 1 Summary of Data'!O$12,'Pt 1 Summary of Data'!O$22)</f>
        <v>0</v>
      </c>
      <c r="M6" s="397"/>
      <c r="N6" s="398">
        <v>0</v>
      </c>
      <c r="O6" s="400">
        <f>SUM('Pt 1 Summary of Data'!Q$12,'Pt 1 Summary of Data'!Q$22)+SUM('Pt 1 Summary of Data'!S$12,'Pt 1 Summary of Data'!S$22)-SUM('Pt 1 Summary of Data'!T$12,'Pt 1 Summary of Data'!T$22)</f>
        <v>0</v>
      </c>
      <c r="P6" s="400">
        <f>SUM(M6:O6)</f>
        <v>0</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Data'!I$37:I$41)+MAX(0,MIN(VALUE('Pt 1 Summary of Data'!I$42),0.3%*('Pt 1 Summary of Data'!I$5-SUM(G$9:G$10))))</f>
        <v>0</v>
      </c>
      <c r="H7" s="397"/>
      <c r="I7" s="398">
        <v>0</v>
      </c>
      <c r="J7" s="400">
        <f>SUM('Pt 1 Summary of Data'!K$37:K$41)+SUM('Pt 1 Summary of Data'!M$37:M$41)-SUM('Pt 1 Summary of Data'!N$37:N$41)+MAX(0,MIN('Pt 1 Summary of Data'!K$42+'Pt 1 Summary of Data'!M$42-'Pt 1 Summary of Data'!N$42,0.3%*('Pt 1 Summary of Data'!K$5+'Pt 1 Summary of Data'!M$5-'Pt 1 Summary of Data'!N$5-SUM(J$10:J$11))))</f>
        <v>0</v>
      </c>
      <c r="K7" s="400">
        <f>SUM(H7:J7)</f>
        <v>0</v>
      </c>
      <c r="L7" s="401">
        <f>SUM('Pt 1 Summary of Data'!O$37:O$41)+MAX(0,MIN(VALUE('Pt 1 Summary of Data'!O$42),0.3%*('Pt 1 Summary of Data'!O$5-L$10)))</f>
        <v>0</v>
      </c>
      <c r="M7" s="397"/>
      <c r="N7" s="398">
        <v>0</v>
      </c>
      <c r="O7" s="400">
        <f>SUM('Pt 1 Summary of Data'!Q$37:Q$41)+SUM('Pt 1 Summary of Data'!S$37:S$41)-SUM('Pt 1 Summary of Data'!T$37:T$41)+MAX(0,MIN('Pt 1 Summary of Data'!Q$42+'Pt 1 Summary of Data'!S$42-'Pt 1 Summary of Data'!T$42,0.3%*('Pt 1 Summary of Data'!Q$5+'Pt 1 Summary of Data'!S$5-'Pt 1 Summary of Data'!T$5)))</f>
        <v>0</v>
      </c>
      <c r="P7" s="400">
        <f>SUM(M7:O7)</f>
        <v>0</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-1910</v>
      </c>
      <c r="D12" s="400">
        <f>SUM(D$6:D$7) - SUM(D$8:D$11)+IF(AND(OR('Company Information'!$C$12="District of Columbia",'Company Information'!$C$12="Massachusetts",'Company Information'!$C$12="Vermont"),SUM($C$6:$F$11,$C$15:$F$16,$C$38:$D$38)&lt;&gt;0),SUM(I$6:I$7) - SUM(I$10:I$11),0)</f>
        <v>1686</v>
      </c>
      <c r="E12" s="400">
        <f>SUM(E$6:E$7)-SUM(E$8:E$11)+IF(AND(OR('Company Information'!$C$12="District of Columbia",'Company Information'!$C$12="Massachusetts",'Company Information'!$C$12="Vermont"),SUM($C$6:$F$11,$C$15:$F$16,$C$38:$D$38)&lt;&gt;0),SUM(J$6:J$7)-SUM(J$10:J$11),0)</f>
        <v>51</v>
      </c>
      <c r="F12" s="400">
        <f>IFERROR(SUM(C$12:E$12)+C$17*MAX(0,E$50-C$50)+D$17*MAX(0,E$50-D$50),0)</f>
        <v>-173</v>
      </c>
      <c r="G12" s="447"/>
      <c r="H12" s="399">
        <f>SUM(H$6:H$7)+IF(AND(OR('Company Information'!$C$12="District of Columbia",'Company Information'!$C$12="Massachusetts",'Company Information'!$C$12="Vermont"),SUM($H$6:$K$11,$H$15:$K$16,$H$38:$I$38)&lt;&gt;0),SUM(C$6:C$7),0)</f>
        <v>0</v>
      </c>
      <c r="I12" s="400">
        <f>SUM(I$6:I$7) - SUM(I$10:I$11)+IF(AND(OR('Company Information'!$C$12="District of Columbia",'Company Information'!$C$12="Massachusetts",'Company Information'!$C$12="Vermont"),SUM($H$6:$K$11,$H$15:$K$16,$H$38:$I$38)&lt;&gt;0),SUM(D$6:D$7) - SUM(D$8:D$11),0)</f>
        <v>0</v>
      </c>
      <c r="J12" s="400">
        <f>SUM(J$6:J$7)-SUM(J$10:J$11)+IF(AND(OR('Company Information'!$C$12="District of Columbia",'Company Information'!$C$12="Massachusetts",'Company Information'!$C$12="Vermont"),SUM($H$6:$K$11,$H$15:$K$16,$H$38:$I$38)&lt;&gt;0),SUM(E$6:E$7)-SUM(E$8:E$11),0)</f>
        <v>0</v>
      </c>
      <c r="K12" s="400">
        <f>IFERROR(SUM(H$12:J$12)+H$17*MAX(0,J$50-H$50)+I$17*MAX(0,J$50-I$50),0)</f>
        <v>0</v>
      </c>
      <c r="L12" s="447"/>
      <c r="M12" s="399">
        <f>SUM(M$6:M$7)</f>
        <v>0</v>
      </c>
      <c r="N12" s="400">
        <f>SUM(N$6:N$7)</f>
        <v>0</v>
      </c>
      <c r="O12" s="400">
        <f>SUM(O$6:O$7)</f>
        <v>0</v>
      </c>
      <c r="P12" s="400">
        <f>SUM(M$12:O$12)+M$17*MAX(0,O$50-M$50)+N$17*MAX(0,O$50-N$50)</f>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2778</v>
      </c>
      <c r="D15" s="403">
        <v>2117</v>
      </c>
      <c r="E15" s="395">
        <f>SUM('Pt 1 Summary of Data'!E$5:E$7)+SUM('Pt 1 Summary of Data'!G$5:G$7)-SUM('Pt 1 Summary of Data'!H$5:H$7)-SUM(E$9:E$11)</f>
        <v>2205</v>
      </c>
      <c r="F15" s="395">
        <f>SUM(C15:E15)</f>
        <v>7100</v>
      </c>
      <c r="G15" s="396">
        <f>SUM('Pt 1 Summary of Data'!I$5:I$7)-SUM(G$9:G$10)</f>
        <v>0</v>
      </c>
      <c r="H15" s="402"/>
      <c r="I15" s="403">
        <v>0</v>
      </c>
      <c r="J15" s="395">
        <f>SUM('Pt 1 Summary of Data'!K$5:K$7)+SUM('Pt 1 Summary of Data'!M$5:M$7)-SUM('Pt 1 Summary of Data'!N$5:N$7)-SUM(J$10:J$11)</f>
        <v>0</v>
      </c>
      <c r="K15" s="395">
        <f>SUM(H15:J15)</f>
        <v>0</v>
      </c>
      <c r="L15" s="396">
        <f>SUM('Pt 1 Summary of Data'!O$5:O$7)-L$10</f>
        <v>0</v>
      </c>
      <c r="M15" s="402"/>
      <c r="N15" s="403">
        <v>0</v>
      </c>
      <c r="O15" s="395">
        <f>SUM('Pt 1 Summary of Data'!Q$5:Q$7)+SUM('Pt 1 Summary of Data'!S$5:S$7)-SUM('Pt 1 Summary of Data'!T$5:T$7)+N$56</f>
        <v>0</v>
      </c>
      <c r="P15" s="395">
        <f>SUM(M15:O15)</f>
        <v>0</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v>1395</v>
      </c>
      <c r="D16" s="398">
        <v>6</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40</v>
      </c>
      <c r="F16" s="400">
        <f>SUM(C16:E16)</f>
        <v>1441</v>
      </c>
      <c r="G16" s="401">
        <f>SUM('Pt 1 Summary of Data'!I$25:I$28,'Pt 1 Summary of Data'!I$30,'Pt 1 Summary of Data'!I$34:I$35)+IF('Company Information'!$C$15="No",IF(MAX('Pt 1 Summary of Data'!I$31:I$32)=0,MIN('Pt 1 Summary of Data'!I$31:I$32),MAX('Pt 1 Summary of Data'!I$31:I$32)),SUM('Pt 1 Summary of Data'!I$31:I$32))</f>
        <v>0</v>
      </c>
      <c r="H16" s="397"/>
      <c r="I16" s="398">
        <v>0</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0">
        <f>SUM(H16:J16)</f>
        <v>0</v>
      </c>
      <c r="L16" s="401">
        <f>SUM('Pt 1 Summary of Data'!O$25:O$28,'Pt 1 Summary of Data'!O$30,'Pt 1 Summary of Data'!O$34:O$35)+IF('Company Information'!$C$15="No",IF(MAX('Pt 1 Summary of Data'!O$31:O$32)=0,MIN('Pt 1 Summary of Data'!O$31:O$32),MAX('Pt 1 Summary of Data'!O$31:O$32)),SUM('Pt 1 Summary of Data'!O$31:O$32))</f>
        <v>0</v>
      </c>
      <c r="M16" s="397"/>
      <c r="N16" s="398">
        <v>0</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400">
        <f>SUM(M16:O16)</f>
        <v>0</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1383</v>
      </c>
      <c r="D17" s="400">
        <f>D$15-D$16+IF(AND(OR('Company Information'!$C$12="District of Columbia",'Company Information'!$C$12="Massachusetts",'Company Information'!$C$12="Vermont"),SUM($C$6:$F$11,$C$15:$F$16,$C$38:$D$38)&lt;&gt;0),I$15-I$16,0)</f>
        <v>2111</v>
      </c>
      <c r="E17" s="400">
        <f>E$15-E$16+IF(AND(OR('Company Information'!$C$12="District of Columbia",'Company Information'!$C$12="Massachusetts",'Company Information'!$C$12="Vermont"),SUM($C$6:$F$11,$C$15:$F$16,$C$38:$D$38)&lt;&gt;0),J$15-J$16,0)</f>
        <v>2165</v>
      </c>
      <c r="F17" s="400">
        <f>F$15-F$16+IF(AND(OR('Company Information'!$C$12="District of Columbia",'Company Information'!$C$12="Massachusetts",'Company Information'!$C$12="Vermont"),SUM($C$6:$F$11,$C$15:$F$16,$C$38:$D$38)&lt;&gt;0),K$15-K$16,0)</f>
        <v>5659</v>
      </c>
      <c r="G17" s="450"/>
      <c r="H17" s="399">
        <f>H$15-H$16+IF(AND(OR('Company Information'!$C$12="District of Columbia",'Company Information'!$C$12="Massachusetts",'Company Information'!$C$12="Vermont"),SUM($H$6:$K$11,$H$15:$K$16,$H$38:$I$38)&lt;&gt;0),C$15-C$16,0)</f>
        <v>0</v>
      </c>
      <c r="I17" s="400">
        <f>I$15-I$16+IF(AND(OR('Company Information'!$C$12="District of Columbia",'Company Information'!$C$12="Massachusetts",'Company Information'!$C$12="Vermont"),SUM($H$6:$K$11,$H$15:$K$16,$H$38:$I$38)&lt;&gt;0),D$15-D$16,0)</f>
        <v>0</v>
      </c>
      <c r="J17" s="400">
        <f>J$15-J$16+IF(AND(OR('Company Information'!$C$12="District of Columbia",'Company Information'!$C$12="Massachusetts",'Company Information'!$C$12="Vermont"),SUM($H$6:$K$11,$H$15:$K$16,$H$38:$I$38)&lt;&gt;0),E$15-E$16,0)</f>
        <v>0</v>
      </c>
      <c r="K17" s="400">
        <f>K$15-K$16+IF(AND(OR('Company Information'!$C$12="District of Columbia",'Company Information'!$C$12="Massachusetts",'Company Information'!$C$12="Vermont"),SUM($H$6:$K$11,$H$15:$K$16,$H$38:$I$38)&lt;&gt;0),F$15-F$16,0)</f>
        <v>0</v>
      </c>
      <c r="L17" s="450"/>
      <c r="M17" s="399">
        <f>M$15-M$16</f>
        <v>0</v>
      </c>
      <c r="N17" s="400">
        <f>N$15-N$16</f>
        <v>0</v>
      </c>
      <c r="O17" s="400">
        <f>O$15-O$16</f>
        <v>0</v>
      </c>
      <c r="P17" s="400">
        <f>P$15-P$16</f>
        <v>0</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3.75</v>
      </c>
      <c r="D38" s="405">
        <v>4.5</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4.5</v>
      </c>
      <c r="F38" s="432">
        <f>SUM(C$38:E$38)+IF(AND(OR('Company Information'!$C$12="District of Columbia",'Company Information'!$C$12="Massachusetts",'Company Information'!$C$12="Vermont"),SUM($C$6:$F$11,$C$15:$F$16,$C$38:$D$38)&lt;&gt;0,SUM(C$38:D$38)&lt;&gt;SUM(H$38:I$38)),SUM(H$38:I$38),0)</f>
        <v>12.75</v>
      </c>
      <c r="G38" s="448"/>
      <c r="H38" s="404"/>
      <c r="I38" s="405">
        <v>0</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2">
        <f>SUM(H$38:J$38)+IF(AND(OR('Company Information'!$C$12="District of Columbia",'Company Information'!$C$12="Massachusetts",'Company Information'!$C$12="Vermont"),SUM($H$6:$K$11,$H$15:$K$16,$H$38:$I$38)&lt;&gt;0,SUM(H$38:I$38)&lt;&gt;SUM(C$38:D$38)),SUM(C$38:D$38),0)</f>
        <v>0</v>
      </c>
      <c r="L38" s="448"/>
      <c r="M38" s="404"/>
      <c r="N38" s="405">
        <v>0</v>
      </c>
      <c r="O38" s="432">
        <f>('Pt 1 Summary of Data'!Q$59+'Pt 1 Summary of Data'!S$59-'Pt 1 Summary of Data'!T$59)/12</f>
        <v>0</v>
      </c>
      <c r="P38" s="432">
        <f>SUM(M$38:O$38)</f>
        <v>0</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t="str">
        <f>IF(K$45="","",K$42)</f>
        <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t="str">
        <f>IF(K$45="","",ROUND(K$45+MAX(0,K$47),3))</f>
        <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t="str">
        <f>K$48</f>
        <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t="str">
        <f>IF(K$38&lt;1000,"",MAX(0,J$15-J$16))</f>
        <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3</v>
      </c>
      <c r="D4" s="104">
        <f>'Pt 1 Summary of Data'!$K$56+'Pt 1 Summary of Data'!$M$56-'Pt 1 Summary of Data'!$N$56</f>
        <v>0</v>
      </c>
      <c r="E4" s="104">
        <f>'Pt 1 Summary of Data'!$Q$56+'Pt 1 Summary of Data'!$S$56-'Pt 1 Summary of Data'!$T$56</f>
        <v>0</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483">
        <v>34881</v>
      </c>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2016-07-28T17:06:27Z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