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P39" i="10"/>
  <c r="AB38" i="10"/>
  <c r="AA38" i="10"/>
  <c r="X38" i="10"/>
  <c r="W38" i="10"/>
  <c r="T38" i="10"/>
  <c r="S38" i="10"/>
  <c r="P38" i="10"/>
  <c r="O38" i="10"/>
  <c r="L32" i="10"/>
  <c r="L27" i="10"/>
  <c r="L24" i="10"/>
  <c r="L23" i="10"/>
  <c r="L20" i="10"/>
  <c r="L19" i="10"/>
  <c r="L22" i="10" s="1"/>
  <c r="AB17" i="10"/>
  <c r="AA17" i="10"/>
  <c r="Z17" i="10"/>
  <c r="Y17" i="10"/>
  <c r="AB13" i="10" s="1"/>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E16" i="10"/>
  <c r="F16" i="10" s="1"/>
  <c r="AB15" i="10"/>
  <c r="AA15" i="10"/>
  <c r="X15" i="10"/>
  <c r="W15" i="10"/>
  <c r="T15" i="10"/>
  <c r="S15" i="10"/>
  <c r="P15" i="10"/>
  <c r="O15" i="10"/>
  <c r="L15" i="10"/>
  <c r="AA13" i="10"/>
  <c r="Z13" i="10"/>
  <c r="Y13" i="10"/>
  <c r="W13" i="10"/>
  <c r="Q13" i="10"/>
  <c r="O12" i="10"/>
  <c r="N12" i="10"/>
  <c r="M12" i="10"/>
  <c r="K11" i="10"/>
  <c r="J11" i="10"/>
  <c r="F11" i="10"/>
  <c r="E11" i="10"/>
  <c r="L10" i="10"/>
  <c r="K10" i="10"/>
  <c r="J10" i="10"/>
  <c r="G10" i="10"/>
  <c r="E10" i="10"/>
  <c r="F10" i="10" s="1"/>
  <c r="G9" i="10"/>
  <c r="E9" i="10"/>
  <c r="F9" i="10" s="1"/>
  <c r="G8" i="10"/>
  <c r="F8" i="10"/>
  <c r="E8" i="10"/>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C22" i="4" s="1"/>
  <c r="AB55" i="18"/>
  <c r="AB22" i="4" s="1"/>
  <c r="AA55" i="18"/>
  <c r="AA22" i="4" s="1"/>
  <c r="Z55" i="18"/>
  <c r="Z22" i="4" s="1"/>
  <c r="Y55" i="18"/>
  <c r="Y22" i="4" s="1"/>
  <c r="X55" i="18"/>
  <c r="W55" i="18"/>
  <c r="V55" i="18"/>
  <c r="V22" i="4" s="1"/>
  <c r="U55" i="18"/>
  <c r="U22" i="4" s="1"/>
  <c r="T55" i="18"/>
  <c r="T22" i="4" s="1"/>
  <c r="S55" i="18"/>
  <c r="S22" i="4" s="1"/>
  <c r="R55" i="18"/>
  <c r="R22" i="4" s="1"/>
  <c r="Q55" i="18"/>
  <c r="Q22" i="4" s="1"/>
  <c r="P55" i="18"/>
  <c r="P22" i="4" s="1"/>
  <c r="O55" i="18"/>
  <c r="O22" i="4" s="1"/>
  <c r="N55" i="18"/>
  <c r="M55" i="18"/>
  <c r="M22" i="4" s="1"/>
  <c r="L55" i="18"/>
  <c r="L22" i="4" s="1"/>
  <c r="K55" i="18"/>
  <c r="K22" i="4" s="1"/>
  <c r="J55" i="18"/>
  <c r="J22" i="4" s="1"/>
  <c r="I55" i="18"/>
  <c r="I22" i="4" s="1"/>
  <c r="H55" i="18"/>
  <c r="H22" i="4" s="1"/>
  <c r="G55" i="18"/>
  <c r="G22" i="4" s="1"/>
  <c r="F55" i="18"/>
  <c r="F22" i="4" s="1"/>
  <c r="E55" i="18"/>
  <c r="E22" i="4" s="1"/>
  <c r="D55" i="18"/>
  <c r="D22" i="4" s="1"/>
  <c r="AU54" i="18"/>
  <c r="AT54" i="18"/>
  <c r="AT12" i="4" s="1"/>
  <c r="AS54" i="18"/>
  <c r="AS12" i="4" s="1"/>
  <c r="AC54" i="18"/>
  <c r="AC12" i="4" s="1"/>
  <c r="AB54" i="18"/>
  <c r="AB12" i="4" s="1"/>
  <c r="AA54" i="18"/>
  <c r="AA12" i="4" s="1"/>
  <c r="Z54" i="18"/>
  <c r="Z12" i="4" s="1"/>
  <c r="Y54" i="18"/>
  <c r="Y12" i="4" s="1"/>
  <c r="X54" i="18"/>
  <c r="W54" i="18"/>
  <c r="W12" i="4" s="1"/>
  <c r="V54" i="18"/>
  <c r="V12" i="4" s="1"/>
  <c r="U54" i="18"/>
  <c r="T54" i="18"/>
  <c r="T12" i="4" s="1"/>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X22" i="4"/>
  <c r="W22" i="4"/>
  <c r="N22" i="4"/>
  <c r="AU12" i="4"/>
  <c r="X12" i="4"/>
  <c r="U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L30" i="10" l="1"/>
  <c r="L31" i="10" s="1"/>
  <c r="L29" i="10" s="1"/>
  <c r="L33" i="10" s="1"/>
  <c r="L34" i="10" s="1"/>
  <c r="G15" i="10"/>
  <c r="E6" i="10"/>
  <c r="F6" i="10" s="1"/>
  <c r="E15" i="10"/>
  <c r="F15" i="10" s="1"/>
  <c r="G32" i="10"/>
  <c r="J15" i="10"/>
  <c r="K15" i="10" s="1"/>
  <c r="E7" i="10"/>
  <c r="J7" i="10"/>
  <c r="P47" i="10"/>
  <c r="G19" i="10"/>
  <c r="G23" i="10"/>
  <c r="G27" i="10"/>
  <c r="G20" i="10"/>
  <c r="G24" i="10"/>
  <c r="AB39" i="10"/>
  <c r="X39" i="10"/>
  <c r="T39" i="10"/>
  <c r="L21" i="10"/>
  <c r="L26" i="10" s="1"/>
  <c r="L25" i="10" s="1"/>
  <c r="L28" i="10" s="1"/>
  <c r="T13" i="10"/>
  <c r="P12" i="10"/>
  <c r="X13" i="10"/>
  <c r="U13" i="10"/>
  <c r="R13" i="10"/>
  <c r="S13" i="10"/>
  <c r="K7" i="10" l="1"/>
  <c r="H12" i="10" s="1"/>
  <c r="F7" i="10"/>
  <c r="E17" i="10" s="1"/>
  <c r="G22" i="10"/>
  <c r="I17" i="10" l="1"/>
  <c r="I45" i="10" s="1"/>
  <c r="E12" i="10"/>
  <c r="E38" i="10"/>
  <c r="E45" i="10" s="1"/>
  <c r="D12" i="10"/>
  <c r="D17" i="10"/>
  <c r="D45" i="10" s="1"/>
  <c r="C17" i="10"/>
  <c r="C12" i="10"/>
  <c r="K17" i="10"/>
  <c r="I12" i="10"/>
  <c r="J38" i="10"/>
  <c r="J12" i="10"/>
  <c r="F17" i="10"/>
  <c r="J17" i="10"/>
  <c r="H17" i="10"/>
  <c r="H45" i="10" s="1"/>
  <c r="G30" i="10"/>
  <c r="G31" i="10" s="1"/>
  <c r="G29" i="10" s="1"/>
  <c r="G33" i="10" s="1"/>
  <c r="G34" i="10" s="1"/>
  <c r="G21" i="10"/>
  <c r="G26" i="10" s="1"/>
  <c r="G25" i="10" s="1"/>
  <c r="G28" i="10" s="1"/>
  <c r="F38" i="10" l="1"/>
  <c r="F52" i="10" s="1"/>
  <c r="F12" i="10"/>
  <c r="C45" i="10"/>
  <c r="J45" i="10"/>
  <c r="K38" i="10"/>
  <c r="K12" i="10"/>
  <c r="F39" i="10" l="1"/>
  <c r="F42" i="10" s="1"/>
  <c r="F47" i="10" s="1"/>
  <c r="F48" i="10" s="1"/>
  <c r="F51" i="10" s="1"/>
  <c r="F53" i="10" s="1"/>
  <c r="C11" i="16" s="1"/>
  <c r="F45" i="10"/>
  <c r="K53" i="10"/>
  <c r="D11" i="16" s="1"/>
  <c r="K45" i="10"/>
  <c r="K42" i="10"/>
  <c r="K52" i="10"/>
  <c r="K39" i="10"/>
  <c r="K48" i="10" l="1"/>
  <c r="K51" i="10" s="1"/>
  <c r="K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<sst xmlns="http://schemas.openxmlformats.org/spreadsheetml/2006/main" count="569" uniqueCount="508">
  <si>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</si>
  <si>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</si>
  <si>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</si>
  <si>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</si>
  <si>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</si>
  <si>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</si>
  <si>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</si>
  <si>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</si>
  <si>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</si>
  <si>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</si>
  <si>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</si>
  <si>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</si>
  <si>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</si>
  <si>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</si>
  <si>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</si>
  <si>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</si>
  <si>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</si>
  <si>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</si>
  <si>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</si>
  <si>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</si>
  <si>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</si>
  <si>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</si>
  <si>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</si>
  <si>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</si>
  <si>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</si>
  <si>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</si>
  <si>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</si>
  <si>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</si>
  <si>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</si>
  <si>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</si>
  <si>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</si>
  <si>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</si>
  <si>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</si>
  <si>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</si>
  <si>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</si>
  <si>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</si>
  <si>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</si>
  <si>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</si>
  <si>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</si>
  <si>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</si>
  <si>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</si>
  <si>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</si>
  <si>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</si>
  <si>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</si>
  <si>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</si>
  <si>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</si>
  <si>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</si>
  <si>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</si>
  <si>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</si>
  <si>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</si>
  <si>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</si>
  <si>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</si>
  <si>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</si>
  <si>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</si>
  <si>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</si>
  <si>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</si>
  <si>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</si>
  <si>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</si>
  <si>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</si>
  <si>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</si>
  <si>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</si>
  <si>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</si>
  <si>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</si>
  <si>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</si>
  <si>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</si>
  <si>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</si>
  <si>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</si>
  <si>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</si>
  <si>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</si>
  <si>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</si>
  <si>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</si>
  <si>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</si>
  <si>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</si>
  <si>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</si>
  <si>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</si>
  <si>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</si>
  <si>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</si>
  <si>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</si>
  <si>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</si>
  <si>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</si>
  <si>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</si>
  <si>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</si>
  <si>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</si>
  <si>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</si>
  <si>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</si>
  <si>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</si>
  <si>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</si>
  <si>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</si>
  <si>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</si>
  <si>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</si>
  <si>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</si>
  <si>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</si>
  <si>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</si>
  <si>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</si>
  <si>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</si>
  <si>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</si>
  <si>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</si>
  <si>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</si>
  <si>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</si>
  <si>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</si>
  <si>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</si>
  <si>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</si>
  <si>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</si>
  <si>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</si>
  <si>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</si>
  <si>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</si>
  <si>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</si>
  <si>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</si>
  <si>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</si>
  <si>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</si>
  <si>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</si>
  <si>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</si>
  <si>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</si>
  <si>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</si>
  <si>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</si>
  <si>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</si>
  <si>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</si>
  <si>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</si>
  <si>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</si>
  <si>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</si>
  <si>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</si>
  <si>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</si>
  <si>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</si>
  <si>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</si>
  <si>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</si>
  <si>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</si>
  <si>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</si>
  <si>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</si>
  <si>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</si>
  <si>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</si>
  <si>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</si>
  <si>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</si>
  <si>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</si>
  <si>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</si>
  <si>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</si>
  <si>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</si>
  <si>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</si>
  <si>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</si>
  <si>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</si>
  <si>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</si>
  <si>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</si>
  <si>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</si>
  <si>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</si>
  <si>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</si>
  <si>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</si>
  <si>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</si>
  <si>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</si>
  <si>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</si>
  <si>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</si>
  <si>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</si>
  <si>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</si>
  <si>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</si>
  <si>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</si>
  <si>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</si>
  <si>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</si>
  <si>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</si>
  <si>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</si>
  <si>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</si>
  <si>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</si>
  <si>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</si>
  <si>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</si>
  <si>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</si>
  <si>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</si>
  <si>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</si>
  <si>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</si>
  <si>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</si>
  <si>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</si>
  <si>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</si>
  <si>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</si>
  <si>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</si>
  <si>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</si>
  <si>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</si>
  <si>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</si>
  <si>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</si>
  <si>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</si>
  <si>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</si>
  <si>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</si>
  <si>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</si>
  <si>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</si>
  <si>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</si>
  <si>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</si>
  <si>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</si>
  <si>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</si>
  <si>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</si>
  <si>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</si>
  <si>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</si>
  <si>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</si>
  <si>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</si>
  <si>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</si>
  <si>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</si>
  <si>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</si>
  <si>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</si>
  <si>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</si>
  <si>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</si>
  <si>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</si>
  <si>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</si>
  <si>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</si>
  <si>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</si>
  <si>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</si>
  <si>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</si>
  <si>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</si>
  <si>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</si>
  <si>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</si>
  <si>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</si>
  <si>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</si>
  <si>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</si>
  <si>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</si>
  <si>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</si>
  <si>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</si>
  <si>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</si>
  <si>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</si>
  <si>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</si>
  <si>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</si>
  <si>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</si>
  <si>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</si>
  <si>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</si>
  <si>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</si>
  <si>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</si>
  <si>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</si>
  <si>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</si>
  <si>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</si>
  <si>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</si>
  <si>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</si>
  <si>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</si>
  <si>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</si>
  <si>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</si>
  <si>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</si>
  <si>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</si>
  <si>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</si>
  <si>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</si>
  <si>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</si>
  <si>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</si>
  <si>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</si>
  <si>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</si>
  <si>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</si>
  <si>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</si>
  <si>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</si>
  <si>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</si>
  <si>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</si>
  <si>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</si>
  <si>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</si>
  <si>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</si>
  <si>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</si>
  <si>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</si>
  <si>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</si>
  <si>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</si>
  <si>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</si>
  <si>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</si>
  <si>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</si>
  <si>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</si>
  <si>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</si>
  <si>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</si>
  <si>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</si>
  <si>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</si>
  <si>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</si>
  <si>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</si>
  <si>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</si>
  <si>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</si>
  <si>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</si>
  <si>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</si>
  <si>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</si>
  <si>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</si>
  <si>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</si>
  <si>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</si>
  <si>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</si>
  <si>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</si>
  <si>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</si>
  <si>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</si>
  <si>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</si>
  <si>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</si>
  <si>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</si>
  <si>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</si>
  <si>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</si>
  <si>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</si>
  <si>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</si>
  <si>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</si>
  <si>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</si>
  <si>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</si>
  <si>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</si>
  <si>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</si>
  <si>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</si>
  <si>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</si>
  <si>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</si>
  <si>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</si>
  <si>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</si>
  <si>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</si>
  <si>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</si>
  <si>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</si>
  <si>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</si>
  <si>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</si>
  <si>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</si>
  <si>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</si>
  <si>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</si>
  <si>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</si>
  <si>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</si>
  <si>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</si>
  <si>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</si>
  <si>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</si>
  <si>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</si>
  <si>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</si>
  <si>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</si>
  <si>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</si>
  <si>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</si>
  <si>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</si>
  <si>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</si>
  <si>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</si>
  <si>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</si>
  <si>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</si>
  <si>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</si>
  <si>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</si>
  <si>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</si>
  <si>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</si>
  <si>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</si>
  <si>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</si>
  <si>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</si>
  <si>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</si>
  <si>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</si>
  <si>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</si>
  <si>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</si>
  <si>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</si>
  <si>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</si>
  <si>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</si>
  <si>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</si>
  <si>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</si>
  <si>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</si>
  <si>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</si>
  <si>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</si>
  <si>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</si>
  <si>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</si>
  <si>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</si>
  <si>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</si>
  <si>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</si>
  <si>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</si>
  <si>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</si>
  <si>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</si>
  <si>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</si>
  <si>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</si>
  <si>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</si>
  <si>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</si>
  <si>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</si>
  <si>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</si>
  <si>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</si>
  <si>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</si>
  <si>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</si>
  <si>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</si>
  <si>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</si>
  <si>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</si>
  <si>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</si>
  <si>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</si>
  <si>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</si>
  <si>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</si>
  <si>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</si>
  <si>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</si>
  <si>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</si>
  <si>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</si>
  <si>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</si>
  <si>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</si>
  <si>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</si>
  <si>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</si>
  <si>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</si>
  <si>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</si>
  <si>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</si>
  <si>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</si>
  <si>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</si>
  <si>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</si>
  <si>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</si>
  <si>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</si>
  <si>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</si>
  <si>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</si>
  <si>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</si>
  <si>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</si>
  <si>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</si>
  <si>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</si>
  <si>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</si>
  <si>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</si>
  <si>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</si>
  <si>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</si>
  <si>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</si>
  <si>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</si>
  <si>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</si>
  <si>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</si>
  <si>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</si>
  <si>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</si>
  <si>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</si>
  <si>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</si>
  <si>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</si>
  <si>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</si>
  <si>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</si>
  <si>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</si>
  <si>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</si>
  <si>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</si>
  <si>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</si>
  <si>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</si>
  <si>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</si>
  <si>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</si>
  <si>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</si>
  <si>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</si>
  <si>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</si>
  <si>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</si>
  <si>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</si>
  <si>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</si>
  <si>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</si>
  <si>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</si>
  <si>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</si>
  <si>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</si>
  <si>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</si>
  <si>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</si>
  <si>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</si>
  <si>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</si>
  <si>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</si>
  <si>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</si>
  <si>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</si>
  <si>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</si>
  <si>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</si>
  <si>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</si>
  <si>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</si>
  <si>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</si>
  <si>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</si>
  <si>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</si>
  <si>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</si>
  <si>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</si>
  <si>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</si>
  <si>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</si>
  <si>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</si>
  <si>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</si>
  <si>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</si>
  <si>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</si>
  <si>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</si>
  <si>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</si>
  <si>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</si>
  <si>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</si>
  <si>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</si>
  <si>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</si>
  <si>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</si>
  <si>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</si>
  <si>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</si>
  <si>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</si>
  <si>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</si>
  <si>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</si>
  <si>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</si>
  <si>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</si>
  <si>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</si>
  <si>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</si>
  <si>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</si>
  <si>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</si>
  <si>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</si>
  <si>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</si>
  <si>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</si>
  <si>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</si>
  <si>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</si>
  <si>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</si>
  <si>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</si>
  <si>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</si>
  <si>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</si>
  <si>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</si>
  <si>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</si>
  <si>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</si>
  <si>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</si>
  <si>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</si>
  <si>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</si>
  <si>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</si>
  <si>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</si>
  <si>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</si>
  <si>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</si>
  <si>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</si>
  <si>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</si>
  <si>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</si>
  <si>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</si>
  <si>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</si>
  <si>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</si>
  <si>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</si>
  <si>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</si>
  <si>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</si>
  <si>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</si>
  <si>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</si>
  <si>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</si>
  <si>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</si>
  <si>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</si>
  <si>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</si>
  <si>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</si>
  <si>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</si>
  <si>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</si>
  <si>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</si>
  <si>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</si>
  <si>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</si>
  <si>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</si>
  <si>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</si>
  <si>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</si>
  <si>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</si>
  <si>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</si>
  <si>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</si>
  <si>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</si>
  <si>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</si>
  <si>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</si>
  <si>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</si>
  <si>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</si>
  <si>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</si>
  <si>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</si>
  <si>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</si>
  <si>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</si>
  <si>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</si>
  <si>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</si>
  <si>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</si>
  <si>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</si>
  <si>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</si>
  <si>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11296</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</si>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</sst>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175</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258112</v>
      </c>
      <c r="E5" s="213">
        <f>SUM('Pt 2 Premium and Claims'!E$5,'Pt 2 Premium and Claims'!E$6,-'Pt 2 Premium and Claims'!E$7,-'Pt 2 Premium and Claims'!E$13,'Pt 2 Premium and Claims'!E$14:'Pt 2 Premium and Claims'!E$17)</f>
        <v>258112</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720147</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-3</v>
      </c>
      <c r="E7" s="217">
        <v>-3</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-223</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-551309</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753806</v>
      </c>
      <c r="E12" s="213">
        <f>'Pt 2 Premium and Claims'!E$54</f>
        <v>753806</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394687</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434</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-169332</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323</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83</v>
      </c>
      <c r="E25" s="217">
        <v>83</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426.91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187</v>
      </c>
      <c r="E30" s="217">
        <v>187</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54.29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4444.3900000000003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55</v>
      </c>
      <c r="E35" s="217">
        <v>55</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130.01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585</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1561</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16</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5633</v>
      </c>
      <c r="AU45" s="220">
        <v>0</v>
      </c>
      <c r="AV45" s="220">
        <v>0</v>
      </c>
      <c r="AW45" s="297"/>
    </row>
    <row r="46" spans="1:49" x14ac:dyDescent="0.2">
      <c r="B46" s="245" t="s">
        <v>262</v>
      </c>
      <c r="C46" s="203" t="s">
        <v>20</v>
      </c>
      <c r="D46" s="216">
        <v>288</v>
      </c>
      <c r="E46" s="217">
        <v>288</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15192</v>
      </c>
      <c r="AU46" s="220">
        <v>0</v>
      </c>
      <c r="AV46" s="220">
        <v>0</v>
      </c>
      <c r="AW46" s="297"/>
    </row>
    <row r="47" spans="1:49" x14ac:dyDescent="0.2">
      <c r="B47" s="245" t="s">
        <v>263</v>
      </c>
      <c r="C47" s="203" t="s">
        <v>21</v>
      </c>
      <c r="D47" s="216">
        <v>1869</v>
      </c>
      <c r="E47" s="217">
        <v>1869</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98613</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-1.1299999999999999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-2155</v>
      </c>
      <c r="E51" s="217">
        <v>-2155</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-113699</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258</v>
      </c>
      <c r="E56" s="229">
        <v>258</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1309</v>
      </c>
      <c r="AU56" s="230">
        <v>0</v>
      </c>
      <c r="AV56" s="230">
        <v>0</v>
      </c>
      <c r="AW56" s="288"/>
    </row>
    <row r="57" spans="2:49" x14ac:dyDescent="0.2">
      <c r="B57" s="245" t="s">
        <v>272</v>
      </c>
      <c r="C57" s="203" t="s">
        <v>25</v>
      </c>
      <c r="D57" s="231">
        <v>363</v>
      </c>
      <c r="E57" s="232">
        <v>363</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2094</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31</v>
      </c>
      <c r="AU58" s="233">
        <v>0</v>
      </c>
      <c r="AV58" s="233">
        <v>0</v>
      </c>
      <c r="AW58" s="289"/>
    </row>
    <row r="59" spans="2:49" x14ac:dyDescent="0.2">
      <c r="B59" s="245" t="s">
        <v>274</v>
      </c>
      <c r="C59" s="203" t="s">
        <v>27</v>
      </c>
      <c r="D59" s="231">
        <v>4572</v>
      </c>
      <c r="E59" s="232">
        <v>4572</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26091</v>
      </c>
      <c r="AU59" s="233">
        <v>0</v>
      </c>
      <c r="AV59" s="233">
        <v>0</v>
      </c>
      <c r="AW59" s="289"/>
    </row>
    <row r="60" spans="2:49" x14ac:dyDescent="0.2">
      <c r="B60" s="245" t="s">
        <v>275</v>
      </c>
      <c r="C60" s="203"/>
      <c r="D60" s="234">
        <f t="shared" ref="D60:AC60" si="0">D$59/12</f>
        <v>381</v>
      </c>
      <c r="E60" s="235">
        <f t="shared" si="0"/>
        <v>381</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2174.25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329147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-47111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257864</v>
      </c>
      <c r="E5" s="326">
        <v>257864</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709443</v>
      </c>
      <c r="AU5" s="327">
        <v>0</v>
      </c>
      <c r="AV5" s="369"/>
      <c r="AW5" s="373"/>
    </row>
    <row r="6" spans="2:49" x14ac:dyDescent="0.2">
      <c r="B6" s="343" t="s">
        <v>278</v>
      </c>
      <c r="C6" s="331" t="s">
        <v>8</v>
      </c>
      <c r="D6" s="318">
        <v>660</v>
      </c>
      <c r="E6" s="319">
        <v>660</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41639</v>
      </c>
      <c r="AU6" s="321">
        <v>0</v>
      </c>
      <c r="AV6" s="368"/>
      <c r="AW6" s="374"/>
    </row>
    <row r="7" spans="2:49" x14ac:dyDescent="0.2">
      <c r="B7" s="343" t="s">
        <v>279</v>
      </c>
      <c r="C7" s="331" t="s">
        <v>9</v>
      </c>
      <c r="D7" s="318">
        <v>412</v>
      </c>
      <c r="E7" s="319">
        <v>412</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30935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12101</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-498287</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753399</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224582</v>
      </c>
      <c r="AU23" s="321">
        <v>0</v>
      </c>
      <c r="AV23" s="368"/>
      <c r="AW23" s="374"/>
    </row>
    <row r="24" spans="2:49" ht="28.5" customHeight="1" x14ac:dyDescent="0.2">
      <c r="B24" s="345" t="s">
        <v>114</v>
      </c>
      <c r="C24" s="331"/>
      <c r="D24" s="365"/>
      <c r="E24" s="319">
        <v>753399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12126</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525804</v>
      </c>
      <c r="AU26" s="321">
        <v>0</v>
      </c>
      <c r="AV26" s="368"/>
      <c r="AW26" s="374"/>
    </row>
    <row r="27" spans="2:49" s="5" customFormat="1" ht="25.5" x14ac:dyDescent="0.2">
      <c r="B27" s="345" t="s">
        <v>85</v>
      </c>
      <c r="C27" s="331"/>
      <c r="D27" s="365"/>
      <c r="E27" s="319">
        <v>19</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12107</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524977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20052</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3884337</v>
      </c>
      <c r="AU30" s="321">
        <v>0</v>
      </c>
      <c r="AV30" s="368"/>
      <c r="AW30" s="374"/>
    </row>
    <row r="31" spans="2:49" s="5" customFormat="1" ht="25.5" x14ac:dyDescent="0.2">
      <c r="B31" s="345" t="s">
        <v>84</v>
      </c>
      <c r="C31" s="331"/>
      <c r="D31" s="365"/>
      <c r="E31" s="319">
        <v>228</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19824</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3840344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21051</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16537753</v>
      </c>
      <c r="AU34" s="321">
        <v>0</v>
      </c>
      <c r="AV34" s="368"/>
      <c r="AW34" s="374"/>
    </row>
    <row r="35" spans="2:49" s="5" customFormat="1" x14ac:dyDescent="0.2">
      <c r="B35" s="345" t="s">
        <v>91</v>
      </c>
      <c r="C35" s="331"/>
      <c r="D35" s="365"/>
      <c r="E35" s="319">
        <v>21051</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20891</v>
      </c>
      <c r="E36" s="319">
        <v>20891</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16412468</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753806</v>
      </c>
      <c r="E54" s="323">
        <f>E24+E27+E31+E35-E36+E39+E42+E45+E46-E49+E51+E52+E53</f>
        <v>753806</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394687</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855107</v>
      </c>
      <c r="D5" s="403">
        <v>591248</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855107</v>
      </c>
      <c r="D6" s="398">
        <v>591248</v>
      </c>
      <c r="E6" s="400">
        <f>SUM('Pt 1 Summary of Data'!E$12,'Pt 1 Summary of Data'!E$22)+SUM('Pt 1 Summary of Data'!G$12,'Pt 1 Summary of Data'!G$22)-SUM('Pt 1 Summary of Data'!H$12,'Pt 1 Summary of Data'!H$22)</f>
        <v>753806</v>
      </c>
      <c r="F6" s="400">
        <f t="shared" ref="F6:F11" si="0">SUM(C6:E6)</f>
        <v>2200161</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855107</v>
      </c>
      <c r="D12" s="400">
        <f>SUM(D$6:D$7) - SUM(D$8:D$11)+IF(AND(OR('Company Information'!$C$12="District of Columbia",'Company Information'!$C$12="Massachusetts",'Company Information'!$C$12="Vermont"),SUM($C$6:$F$11,$C$15:$F$16,$C$38:$D$38)&lt;&gt;0),SUM(I$6:I$7) - SUM(I$10:I$11),0)</f>
        <v>591248</v>
      </c>
      <c r="E12" s="400">
        <f>SUM(E$6:E$7)-SUM(E$8:E$11)+IF(AND(OR('Company Information'!$C$12="District of Columbia",'Company Information'!$C$12="Massachusetts",'Company Information'!$C$12="Vermont"),SUM($C$6:$F$11,$C$15:$F$16,$C$38:$D$38)&lt;&gt;0),SUM(J$6:J$7)-SUM(J$10:J$11),0)</f>
        <v>753806</v>
      </c>
      <c r="F12" s="400">
        <f>IFERROR(SUM(C$12:E$12)+C$17*MAX(0,E$50-C$50)+D$17*MAX(0,E$50-D$50),0)</f>
        <v>2200161</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278586</v>
      </c>
      <c r="D15" s="403">
        <v>273694</v>
      </c>
      <c r="E15" s="395">
        <f>SUM('Pt 1 Summary of Data'!E$5:E$7)+SUM('Pt 1 Summary of Data'!G$5:G$7)-SUM('Pt 1 Summary of Data'!H$5:H$7)-SUM(E$9:E$11)</f>
        <v>258109</v>
      </c>
      <c r="F15" s="395">
        <f>SUM(C15:E15)</f>
        <v>810389</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-379357</v>
      </c>
      <c r="D16" s="398">
        <v>55</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325</v>
      </c>
      <c r="F16" s="400">
        <f>SUM(C16:E16)</f>
        <v>-378977</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657943</v>
      </c>
      <c r="D17" s="400">
        <f>D$15-D$16+IF(AND(OR('Company Information'!$C$12="District of Columbia",'Company Information'!$C$12="Massachusetts",'Company Information'!$C$12="Vermont"),SUM($C$6:$F$11,$C$15:$F$16,$C$38:$D$38)&lt;&gt;0),I$15-I$16,0)</f>
        <v>273639</v>
      </c>
      <c r="E17" s="400">
        <f>E$15-E$16+IF(AND(OR('Company Information'!$C$12="District of Columbia",'Company Information'!$C$12="Massachusetts",'Company Information'!$C$12="Vermont"),SUM($C$6:$F$11,$C$15:$F$16,$C$38:$D$38)&lt;&gt;0),J$15-J$16,0)</f>
        <v>257784</v>
      </c>
      <c r="F17" s="400">
        <f>F$15-F$16+IF(AND(OR('Company Information'!$C$12="District of Columbia",'Company Information'!$C$12="Massachusetts",'Company Information'!$C$12="Vermont"),SUM($C$6:$F$11,$C$15:$F$16,$C$38:$D$38)&lt;&gt;0),K$15-K$16,0)</f>
        <v>1189366</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430.92</v>
      </c>
      <c r="D38" s="405">
        <v>423.25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381</v>
      </c>
      <c r="F38" s="432">
        <f>SUM(C$38:E$38)+IF(AND(OR('Company Information'!$C$12="District of Columbia",'Company Information'!$C$12="Massachusetts",'Company Information'!$C$12="Vermont"),SUM($C$6:$F$11,$C$15:$F$16,$C$38:$D$38)&lt;&gt;0,SUM(C$38:D$38)&lt;&gt;SUM(H$38:I$38)),SUM(H$38:I$38),0)</f>
        <v>1235.17</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7.8139819999999999E-2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7.8139819999999999E-2</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f>IF(OR(F$38&lt;1000,F$17&lt;=0),"",F$12/F$17)</f>
        <v>1.8498603457640457</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7.8139819999999999E-2</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1.9279999999999999</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1.9279999999999999</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257784</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258</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