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X39" i="10"/>
  <c r="T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S16" i="10"/>
  <c r="R13" i="10" s="1"/>
  <c r="P16" i="10"/>
  <c r="O16" i="10"/>
  <c r="L16" i="10"/>
  <c r="K16" i="10"/>
  <c r="J16" i="10"/>
  <c r="G16" i="10"/>
  <c r="E16" i="10"/>
  <c r="F16" i="10" s="1"/>
  <c r="AB15" i="10"/>
  <c r="AA15" i="10"/>
  <c r="X15" i="10"/>
  <c r="W15" i="10"/>
  <c r="T15" i="10"/>
  <c r="S15" i="10"/>
  <c r="P15" i="10"/>
  <c r="O15" i="10"/>
  <c r="L15" i="10"/>
  <c r="AA13" i="10"/>
  <c r="Z13" i="10"/>
  <c r="Y13" i="10"/>
  <c r="W13" i="10"/>
  <c r="O12" i="10"/>
  <c r="N12" i="10"/>
  <c r="M12" i="10"/>
  <c r="K11" i="10"/>
  <c r="J11" i="10"/>
  <c r="E11" i="10"/>
  <c r="F11" i="10" s="1"/>
  <c r="L10" i="10"/>
  <c r="K10" i="10"/>
  <c r="J10" i="10"/>
  <c r="G10" i="10"/>
  <c r="F10" i="10"/>
  <c r="E10" i="10"/>
  <c r="G9" i="10"/>
  <c r="E9" i="10"/>
  <c r="F9" i="10" s="1"/>
  <c r="G8" i="10"/>
  <c r="E8" i="10"/>
  <c r="F8" i="10" s="1"/>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S22" i="4" s="1"/>
  <c r="AC55" i="18"/>
  <c r="AC22" i="4" s="1"/>
  <c r="AB55" i="18"/>
  <c r="AB22" i="4" s="1"/>
  <c r="AA55" i="18"/>
  <c r="AA22" i="4" s="1"/>
  <c r="Z55" i="18"/>
  <c r="Z22" i="4" s="1"/>
  <c r="Y55" i="18"/>
  <c r="Y22" i="4" s="1"/>
  <c r="X55" i="18"/>
  <c r="X22" i="4" s="1"/>
  <c r="W55" i="18"/>
  <c r="W22" i="4" s="1"/>
  <c r="V55" i="18"/>
  <c r="V22" i="4" s="1"/>
  <c r="U55" i="18"/>
  <c r="T55" i="18"/>
  <c r="T22" i="4" s="1"/>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G22" i="4" s="1"/>
  <c r="F55" i="18"/>
  <c r="F22" i="4" s="1"/>
  <c r="E55" i="18"/>
  <c r="E22" i="4" s="1"/>
  <c r="D55" i="18"/>
  <c r="D22" i="4" s="1"/>
  <c r="AU54" i="18"/>
  <c r="AU12" i="4" s="1"/>
  <c r="AT54" i="18"/>
  <c r="AT12" i="4" s="1"/>
  <c r="AS54" i="18"/>
  <c r="AS12" i="4" s="1"/>
  <c r="AC54" i="18"/>
  <c r="AC12" i="4" s="1"/>
  <c r="AB54" i="18"/>
  <c r="AB12" i="4" s="1"/>
  <c r="AA54" i="18"/>
  <c r="AA12" i="4" s="1"/>
  <c r="Z54" i="18"/>
  <c r="Z12" i="4" s="1"/>
  <c r="Y54" i="18"/>
  <c r="Y12" i="4" s="1"/>
  <c r="X54" i="18"/>
  <c r="X12" i="4" s="1"/>
  <c r="W54" i="18"/>
  <c r="W12" i="4" s="1"/>
  <c r="V54" i="18"/>
  <c r="V12" i="4" s="1"/>
  <c r="U54" i="18"/>
  <c r="U12" i="4" s="1"/>
  <c r="T54" i="18"/>
  <c r="T12" i="4" s="1"/>
  <c r="S54" i="18"/>
  <c r="S12" i="4" s="1"/>
  <c r="R54" i="18"/>
  <c r="R12" i="4" s="1"/>
  <c r="Q54" i="18"/>
  <c r="Q12" i="4" s="1"/>
  <c r="P54" i="18"/>
  <c r="P12" i="4" s="1"/>
  <c r="O54" i="18"/>
  <c r="O12" i="4" s="1"/>
  <c r="N54" i="18"/>
  <c r="M54" i="18"/>
  <c r="M12" i="4" s="1"/>
  <c r="L54" i="18"/>
  <c r="L12" i="4" s="1"/>
  <c r="K54" i="18"/>
  <c r="K12" i="4" s="1"/>
  <c r="J54" i="18"/>
  <c r="J12" i="4" s="1"/>
  <c r="I54" i="18"/>
  <c r="I12" i="4" s="1"/>
  <c r="H54" i="18"/>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U22" i="4"/>
  <c r="N12" i="4"/>
  <c r="H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E6" i="10" l="1"/>
  <c r="F6" i="10" s="1"/>
  <c r="J15" i="10"/>
  <c r="E15" i="10"/>
  <c r="F15" i="10" s="1"/>
  <c r="J7" i="10"/>
  <c r="K7" i="10" s="1"/>
  <c r="L30" i="10"/>
  <c r="L31" i="10" s="1"/>
  <c r="G19" i="10"/>
  <c r="K15" i="10"/>
  <c r="E7" i="10"/>
  <c r="G15" i="10"/>
  <c r="G32" i="10" s="1"/>
  <c r="P47" i="10"/>
  <c r="AB39" i="10"/>
  <c r="L29" i="10"/>
  <c r="L33" i="10" s="1"/>
  <c r="L34" i="10" s="1"/>
  <c r="L21" i="10"/>
  <c r="L26" i="10" s="1"/>
  <c r="L25" i="10" s="1"/>
  <c r="L28" i="10" s="1"/>
  <c r="AB13" i="10"/>
  <c r="X13" i="10"/>
  <c r="P12" i="10"/>
  <c r="Q13" i="10"/>
  <c r="V13" i="10"/>
  <c r="U13" i="10"/>
  <c r="T13" i="10"/>
  <c r="S13" i="10"/>
  <c r="H17" i="10" l="1"/>
  <c r="H45" i="10" s="1"/>
  <c r="K17" i="10"/>
  <c r="F7" i="10"/>
  <c r="C12" i="10" s="1"/>
  <c r="G24" i="10"/>
  <c r="H12" i="10"/>
  <c r="J17" i="10"/>
  <c r="I17" i="10"/>
  <c r="I45" i="10" s="1"/>
  <c r="I12" i="10"/>
  <c r="J12" i="10"/>
  <c r="G23" i="10"/>
  <c r="G27" i="10"/>
  <c r="G20" i="10"/>
  <c r="G22" i="10" s="1"/>
  <c r="J38" i="10"/>
  <c r="C17" i="10" l="1"/>
  <c r="G21" i="10"/>
  <c r="G26" i="10" s="1"/>
  <c r="G25" i="10" s="1"/>
  <c r="G28" i="10" s="1"/>
  <c r="E38" i="10"/>
  <c r="F38" i="10" s="1"/>
  <c r="E17" i="10"/>
  <c r="D12" i="10"/>
  <c r="D17" i="10"/>
  <c r="D45" i="10" s="1"/>
  <c r="G30" i="10"/>
  <c r="G31" i="10" s="1"/>
  <c r="G29" i="10" s="1"/>
  <c r="G33" i="10" s="1"/>
  <c r="G34" i="10" s="1"/>
  <c r="F17" i="10"/>
  <c r="E12" i="10"/>
  <c r="K12" i="10"/>
  <c r="J45" i="10"/>
  <c r="K38" i="10"/>
  <c r="C45" i="10"/>
  <c r="E45" i="10" l="1"/>
  <c r="F39" i="10" s="1"/>
  <c r="F12" i="10"/>
  <c r="K52" i="10"/>
  <c r="K53" i="10"/>
  <c r="D11" i="16" s="1"/>
  <c r="K39" i="10"/>
  <c r="K45" i="10"/>
  <c r="K42" i="10"/>
  <c r="F42" i="10"/>
  <c r="F52" i="10"/>
  <c r="F53" i="10"/>
  <c r="C11" i="16" s="1"/>
  <c r="F45" i="10"/>
  <c r="K48" i="10" l="1"/>
  <c r="K51" i="10" s="1"/>
  <c r="K47" i="10"/>
  <c r="F47" i="10"/>
  <c r="F48" i="10"/>
  <c r="F51"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<sst xmlns="http://schemas.openxmlformats.org/spreadsheetml/2006/main" count="569" uniqueCount="508">
  <si>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</si>
  <si>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</si>
  <si>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</si>
  <si>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</si>
  <si>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</si>
  <si>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</si>
  <si>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</si>
  <si>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</si>
  <si>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</si>
  <si>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</si>
  <si>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</si>
  <si>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</si>
  <si>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</si>
  <si>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</si>
  <si>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</si>
  <si>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</si>
  <si>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</si>
  <si>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</si>
  <si>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</si>
  <si>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</si>
  <si>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</si>
  <si>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</si>
  <si>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</si>
  <si>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</si>
  <si>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</si>
  <si>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</si>
  <si>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</si>
  <si>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</si>
  <si>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</si>
  <si>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</si>
  <si>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</si>
  <si>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</si>
  <si>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</si>
  <si>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</si>
  <si>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</si>
  <si>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</si>
  <si>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</si>
  <si>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</si>
  <si>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</si>
  <si>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</si>
  <si>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</si>
  <si>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</si>
  <si>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</si>
  <si>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</si>
  <si>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</si>
  <si>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</si>
  <si>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</si>
  <si>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</si>
  <si>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</si>
  <si>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</si>
  <si>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</si>
  <si>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</si>
  <si>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</si>
  <si>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</si>
  <si>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</si>
  <si>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</si>
  <si>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</si>
  <si>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</si>
  <si>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</si>
  <si>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</si>
  <si>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</si>
  <si>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</si>
  <si>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</si>
  <si>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</si>
  <si>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</si>
  <si>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</si>
  <si>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</si>
  <si>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</si>
  <si>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</si>
  <si>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</si>
  <si>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</si>
  <si>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</si>
  <si>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</si>
  <si>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</si>
  <si>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</si>
  <si>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</si>
  <si>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</si>
  <si>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</si>
  <si>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</si>
  <si>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</si>
  <si>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</si>
  <si>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</si>
  <si>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</si>
  <si>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</si>
  <si>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</si>
  <si>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</si>
  <si>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</si>
  <si>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</si>
  <si>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</si>
  <si>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</si>
  <si>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</si>
  <si>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</si>
  <si>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</si>
  <si>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</si>
  <si>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</si>
  <si>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</si>
  <si>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</si>
  <si>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</si>
  <si>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</si>
  <si>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</si>
  <si>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</si>
  <si>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</si>
  <si>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</si>
  <si>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</si>
  <si>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</si>
  <si>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</si>
  <si>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</si>
  <si>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</si>
  <si>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</si>
  <si>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</si>
  <si>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</si>
  <si>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</si>
  <si>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</si>
  <si>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</si>
  <si>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</si>
  <si>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</si>
  <si>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</si>
  <si>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</si>
  <si>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</si>
  <si>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</si>
  <si>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</si>
  <si>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</si>
  <si>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</si>
  <si>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</si>
  <si>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</si>
  <si>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</si>
  <si>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</si>
  <si>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</si>
  <si>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</si>
  <si>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</si>
  <si>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</si>
  <si>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</si>
  <si>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</si>
  <si>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</si>
  <si>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</si>
  <si>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</si>
  <si>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</si>
  <si>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</si>
  <si>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</si>
  <si>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</si>
  <si>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</si>
  <si>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</si>
  <si>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</si>
  <si>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</si>
  <si>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</si>
  <si>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</si>
  <si>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</si>
  <si>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</si>
  <si>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</si>
  <si>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</si>
  <si>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</si>
  <si>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</si>
  <si>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</si>
  <si>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</si>
  <si>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</si>
  <si>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</si>
  <si>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</si>
  <si>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</si>
  <si>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</si>
  <si>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</si>
  <si>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</si>
  <si>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</si>
  <si>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</si>
  <si>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</si>
  <si>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</si>
  <si>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</si>
  <si>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</si>
  <si>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</si>
  <si>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</si>
  <si>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</si>
  <si>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</si>
  <si>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</si>
  <si>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</si>
  <si>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</si>
  <si>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</si>
  <si>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</si>
  <si>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</si>
  <si>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</si>
  <si>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</si>
  <si>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</si>
  <si>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</si>
  <si>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</si>
  <si>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</si>
  <si>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</si>
  <si>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</si>
  <si>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</si>
  <si>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</si>
  <si>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</si>
  <si>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</si>
  <si>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</si>
  <si>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</si>
  <si>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</si>
  <si>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</si>
  <si>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</si>
  <si>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</si>
  <si>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</si>
  <si>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</si>
  <si>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</si>
  <si>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</si>
  <si>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</si>
  <si>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</si>
  <si>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</si>
  <si>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</si>
  <si>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</si>
  <si>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</si>
  <si>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</si>
  <si>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</si>
  <si>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</si>
  <si>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</si>
  <si>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</si>
  <si>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</si>
  <si>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</si>
  <si>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</si>
  <si>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</si>
  <si>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</si>
  <si>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</si>
  <si>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</si>
  <si>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</si>
  <si>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</si>
  <si>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</si>
  <si>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</si>
  <si>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</si>
  <si>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</si>
  <si>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</si>
  <si>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</si>
  <si>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</si>
  <si>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</si>
  <si>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</si>
  <si>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</si>
  <si>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</si>
  <si>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</si>
  <si>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</si>
  <si>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</si>
  <si>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</si>
  <si>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</si>
  <si>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</si>
  <si>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</si>
  <si>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</si>
  <si>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</si>
  <si>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</si>
  <si>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</si>
  <si>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</si>
  <si>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</si>
  <si>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</si>
  <si>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</si>
  <si>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</si>
  <si>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</si>
  <si>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</si>
  <si>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</si>
  <si>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</si>
  <si>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</si>
  <si>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</si>
  <si>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</si>
  <si>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</si>
  <si>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</si>
  <si>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</si>
  <si>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</si>
  <si>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</si>
  <si>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</si>
  <si>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</si>
  <si>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</si>
  <si>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</si>
  <si>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</si>
  <si>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</si>
  <si>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</si>
  <si>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</si>
  <si>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</si>
  <si>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</si>
  <si>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</si>
  <si>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</si>
  <si>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</si>
  <si>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</si>
  <si>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</si>
  <si>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</si>
  <si>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</si>
  <si>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</si>
  <si>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</si>
  <si>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</si>
  <si>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</si>
  <si>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</si>
  <si>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</si>
  <si>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</si>
  <si>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</si>
  <si>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</si>
  <si>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</si>
  <si>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</si>
  <si>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</si>
  <si>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</si>
  <si>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</si>
  <si>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</si>
  <si>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</si>
  <si>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</si>
  <si>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</si>
  <si>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</si>
  <si>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</si>
  <si>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</si>
  <si>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</si>
  <si>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</si>
  <si>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</si>
  <si>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</si>
  <si>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</si>
  <si>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</si>
  <si>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</si>
  <si>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</si>
  <si>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</si>
  <si>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</si>
  <si>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</si>
  <si>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</si>
  <si>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</si>
  <si>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</si>
  <si>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</si>
  <si>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</si>
  <si>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</si>
  <si>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</si>
  <si>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</si>
  <si>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</si>
  <si>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</si>
  <si>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</si>
  <si>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</si>
  <si>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</si>
  <si>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</si>
  <si>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</si>
  <si>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</si>
  <si>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</si>
  <si>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</si>
  <si>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</si>
  <si>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</si>
  <si>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</si>
  <si>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</si>
  <si>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</si>
  <si>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</si>
  <si>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</si>
  <si>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</si>
  <si>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</si>
  <si>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</si>
  <si>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</si>
  <si>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</si>
  <si>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</si>
  <si>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</si>
  <si>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</si>
  <si>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</si>
  <si>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</si>
  <si>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</si>
  <si>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</si>
  <si>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</si>
  <si>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</si>
  <si>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</si>
  <si>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</si>
  <si>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</si>
  <si>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</si>
  <si>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</si>
  <si>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</si>
  <si>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</si>
  <si>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</si>
  <si>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</si>
  <si>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</si>
  <si>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</si>
  <si>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</si>
  <si>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</si>
  <si>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</si>
  <si>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</si>
  <si>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</si>
  <si>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</si>
  <si>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</si>
  <si>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</si>
  <si>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</si>
  <si>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</si>
  <si>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</si>
  <si>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</si>
  <si>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</si>
  <si>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</si>
  <si>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</si>
  <si>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</si>
  <si>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</si>
  <si>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</si>
  <si>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</si>
  <si>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</si>
  <si>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</si>
  <si>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</si>
  <si>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</si>
  <si>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</si>
  <si>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</si>
  <si>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</si>
  <si>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</si>
  <si>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</si>
  <si>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</si>
  <si>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</si>
  <si>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</si>
  <si>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</si>
  <si>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</si>
  <si>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</si>
  <si>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</si>
  <si>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</si>
  <si>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</si>
  <si>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</si>
  <si>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</si>
  <si>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</si>
  <si>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</si>
  <si>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</si>
  <si>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</si>
  <si>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</si>
  <si>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</si>
  <si>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</si>
  <si>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</si>
  <si>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</si>
  <si>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</si>
  <si>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</si>
  <si>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</si>
  <si>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</si>
  <si>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</si>
  <si>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</si>
  <si>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</si>
  <si>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</si>
  <si>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</si>
  <si>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</si>
  <si>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</si>
  <si>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</si>
  <si>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</si>
  <si>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</si>
  <si>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</si>
  <si>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</si>
  <si>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</si>
  <si>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</si>
  <si>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</si>
  <si>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</si>
  <si>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</si>
  <si>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</si>
  <si>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</si>
  <si>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</si>
  <si>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</si>
  <si>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</si>
  <si>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</si>
  <si>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</si>
  <si>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</si>
  <si>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</si>
  <si>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</si>
  <si>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</si>
  <si>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</si>
  <si>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</si>
  <si>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</si>
  <si>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</si>
  <si>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</si>
  <si>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</si>
  <si>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</si>
  <si>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</si>
  <si>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</si>
  <si>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</si>
  <si>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</si>
  <si>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</si>
  <si>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</si>
  <si>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</si>
  <si>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</si>
  <si>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</si>
  <si>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</si>
  <si>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</si>
  <si>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</si>
  <si>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</si>
  <si>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</si>
  <si>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</si>
  <si>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</si>
  <si>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</si>
  <si>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</si>
  <si>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</si>
  <si>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</si>
  <si>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</si>
  <si>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</si>
  <si>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</si>
  <si>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</si>
  <si>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</si>
  <si>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</si>
  <si>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</si>
  <si>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</si>
  <si>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</si>
  <si>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</si>
  <si>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</si>
  <si>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</si>
  <si>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</si>
  <si>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</si>
  <si>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</si>
  <si>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</si>
  <si>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</si>
  <si>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</si>
  <si>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</si>
  <si>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</si>
  <si>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</si>
  <si>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</si>
  <si>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</si>
  <si>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</si>
  <si>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</si>
  <si>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</si>
  <si>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</si>
  <si>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</si>
  <si>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</si>
  <si>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</si>
  <si>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</si>
  <si>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</si>
  <si>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</si>
  <si>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</si>
  <si>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</si>
  <si>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</si>
  <si>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</si>
  <si>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</si>
  <si>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</si>
  <si>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</si>
  <si>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</si>
  <si>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61420</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</si>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</sst>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194</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2286</v>
      </c>
      <c r="E5" s="213">
        <f>SUM('Pt 2 Premium and Claims'!E$5,'Pt 2 Premium and Claims'!E$6,-'Pt 2 Premium and Claims'!E$7,-'Pt 2 Premium and Claims'!E$13,'Pt 2 Premium and Claims'!E$14:'Pt 2 Premium and Claims'!E$17)</f>
        <v>2286</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35536</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-9</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-21903</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22</v>
      </c>
      <c r="E12" s="213">
        <f>'Pt 2 Premium and Claims'!E$54</f>
        <v>22</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21342</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17</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-9156</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13</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v>
      </c>
      <c r="E25" s="217">
        <v>3</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34.69</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v>
      </c>
      <c r="E30" s="217">
        <v>7</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4.33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178.5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v>
      </c>
      <c r="E35" s="217">
        <v>2</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853.64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23</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62</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224</v>
      </c>
      <c r="AU45" s="220">
        <v>0</v>
      </c>
      <c r="AV45" s="220">
        <v>0</v>
      </c>
      <c r="AW45" s="297"/>
    </row>
    <row r="46" spans="1:49" x14ac:dyDescent="0.2">
      <c r="B46" s="245" t="s">
        <v>262</v>
      </c>
      <c r="C46" s="203" t="s">
        <v>20</v>
      </c>
      <c r="D46" s="216">
        <v>11</v>
      </c>
      <c r="E46" s="217">
        <v>11</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604</v>
      </c>
      <c r="AU46" s="220">
        <v>0</v>
      </c>
      <c r="AV46" s="220">
        <v>0</v>
      </c>
      <c r="AW46" s="297"/>
    </row>
    <row r="47" spans="1:49" x14ac:dyDescent="0.2">
      <c r="B47" s="245" t="s">
        <v>263</v>
      </c>
      <c r="C47" s="203" t="s">
        <v>21</v>
      </c>
      <c r="D47" s="216">
        <v>74</v>
      </c>
      <c r="E47" s="217">
        <v>74</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3918</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84.45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-86</v>
      </c>
      <c r="E51" s="217">
        <v>-86</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-4517</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59</v>
      </c>
      <c r="AU56" s="230">
        <v>0</v>
      </c>
      <c r="AV56" s="230">
        <v>0</v>
      </c>
      <c r="AW56" s="288"/>
    </row>
    <row r="57" spans="2:49" x14ac:dyDescent="0.2">
      <c r="B57" s="245" t="s">
        <v>272</v>
      </c>
      <c r="C57" s="203" t="s">
        <v>25</v>
      </c>
      <c r="D57" s="231">
        <v>4</v>
      </c>
      <c r="E57" s="232">
        <v>4</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94</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v>
      </c>
      <c r="AU58" s="233">
        <v>0</v>
      </c>
      <c r="AV58" s="233">
        <v>0</v>
      </c>
      <c r="AW58" s="289"/>
    </row>
    <row r="59" spans="2:49" x14ac:dyDescent="0.2">
      <c r="B59" s="245" t="s">
        <v>274</v>
      </c>
      <c r="C59" s="203" t="s">
        <v>27</v>
      </c>
      <c r="D59" s="231">
        <v>45</v>
      </c>
      <c r="E59" s="232">
        <v>45</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1173</v>
      </c>
      <c r="AU59" s="233">
        <v>0</v>
      </c>
      <c r="AV59" s="233">
        <v>0</v>
      </c>
      <c r="AW59" s="289"/>
    </row>
    <row r="60" spans="2:49" x14ac:dyDescent="0.2">
      <c r="B60" s="245" t="s">
        <v>275</v>
      </c>
      <c r="C60" s="203"/>
      <c r="D60" s="234">
        <f t="shared" ref="D60:AC60" si="0">D$59/12</f>
        <v>3.75</v>
      </c>
      <c r="E60" s="235">
        <f t="shared" si="0"/>
        <v>3.75</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97.75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13077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-1872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2166</v>
      </c>
      <c r="E5" s="326">
        <v>2166</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28186</v>
      </c>
      <c r="AU5" s="327">
        <v>0</v>
      </c>
      <c r="AV5" s="369"/>
      <c r="AW5" s="373"/>
    </row>
    <row r="6" spans="2:49" x14ac:dyDescent="0.2">
      <c r="B6" s="343" t="s">
        <v>278</v>
      </c>
      <c r="C6" s="331" t="s">
        <v>8</v>
      </c>
      <c r="D6" s="318">
        <v>136</v>
      </c>
      <c r="E6" s="319">
        <v>136</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8579</v>
      </c>
      <c r="AU6" s="321">
        <v>0</v>
      </c>
      <c r="AV6" s="368"/>
      <c r="AW6" s="374"/>
    </row>
    <row r="7" spans="2:49" x14ac:dyDescent="0.2">
      <c r="B7" s="343" t="s">
        <v>279</v>
      </c>
      <c r="C7" s="331" t="s">
        <v>9</v>
      </c>
      <c r="D7" s="318">
        <v>16</v>
      </c>
      <c r="E7" s="319">
        <v>16</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1229</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481</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-19797</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12144</v>
      </c>
      <c r="AU23" s="321">
        <v>0</v>
      </c>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689</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29870</v>
      </c>
      <c r="AU26" s="321">
        <v>0</v>
      </c>
      <c r="AV26" s="368"/>
      <c r="AW26" s="374"/>
    </row>
    <row r="27" spans="2:49" s="5" customFormat="1" ht="25.5" x14ac:dyDescent="0.2">
      <c r="B27" s="345" t="s">
        <v>85</v>
      </c>
      <c r="C27" s="331"/>
      <c r="D27" s="365"/>
      <c r="E27" s="319">
        <v>1</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688</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29825</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1139</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220559</v>
      </c>
      <c r="AU30" s="321">
        <v>0</v>
      </c>
      <c r="AV30" s="368"/>
      <c r="AW30" s="374"/>
    </row>
    <row r="31" spans="2:49" s="5" customFormat="1" ht="25.5" x14ac:dyDescent="0.2">
      <c r="B31" s="345" t="s">
        <v>84</v>
      </c>
      <c r="C31" s="331"/>
      <c r="D31" s="365"/>
      <c r="E31" s="319">
        <v>13</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1126</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218180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1195</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939210</v>
      </c>
      <c r="AU34" s="321">
        <v>0</v>
      </c>
      <c r="AV34" s="368"/>
      <c r="AW34" s="374"/>
    </row>
    <row r="35" spans="2:49" s="5" customFormat="1" x14ac:dyDescent="0.2">
      <c r="B35" s="345" t="s">
        <v>91</v>
      </c>
      <c r="C35" s="331"/>
      <c r="D35" s="365"/>
      <c r="E35" s="319">
        <v>1195</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1187</v>
      </c>
      <c r="E36" s="319">
        <v>1187</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932436</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22</v>
      </c>
      <c r="E54" s="323">
        <f>E24+E27+E31+E35-E36+E39+E42+E45+E46-E49+E51+E52+E53</f>
        <v>22</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21342</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3571</v>
      </c>
      <c r="D5" s="403">
        <v>3001</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3571</v>
      </c>
      <c r="D6" s="398">
        <v>3001</v>
      </c>
      <c r="E6" s="400">
        <f>SUM('Pt 1 Summary of Data'!E$12,'Pt 1 Summary of Data'!E$22)+SUM('Pt 1 Summary of Data'!G$12,'Pt 1 Summary of Data'!G$22)-SUM('Pt 1 Summary of Data'!H$12,'Pt 1 Summary of Data'!H$22)</f>
        <v>22</v>
      </c>
      <c r="F6" s="400">
        <f t="shared" ref="F6:F11" si="0">SUM(C6:E6)</f>
        <v>6594</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3571</v>
      </c>
      <c r="D12" s="400">
        <f>SUM(D$6:D$7) - SUM(D$8:D$11)+IF(AND(OR('Company Information'!$C$12="District of Columbia",'Company Information'!$C$12="Massachusetts",'Company Information'!$C$12="Vermont"),SUM($C$6:$F$11,$C$15:$F$16,$C$38:$D$38)&lt;&gt;0),SUM(I$6:I$7) - SUM(I$10:I$11),0)</f>
        <v>3001</v>
      </c>
      <c r="E12" s="400">
        <f>SUM(E$6:E$7)-SUM(E$8:E$11)+IF(AND(OR('Company Information'!$C$12="District of Columbia",'Company Information'!$C$12="Massachusetts",'Company Information'!$C$12="Vermont"),SUM($C$6:$F$11,$C$15:$F$16,$C$38:$D$38)&lt;&gt;0),SUM(J$6:J$7)-SUM(J$10:J$11),0)</f>
        <v>22</v>
      </c>
      <c r="F12" s="400">
        <f>IFERROR(SUM(C$12:E$12)+C$17*MAX(0,E$50-C$50)+D$17*MAX(0,E$50-D$50),0)</f>
        <v>6594</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3870</v>
      </c>
      <c r="D15" s="403">
        <v>2030</v>
      </c>
      <c r="E15" s="395">
        <f>SUM('Pt 1 Summary of Data'!E$5:E$7)+SUM('Pt 1 Summary of Data'!G$5:G$7)-SUM('Pt 1 Summary of Data'!H$5:H$7)-SUM(E$9:E$11)</f>
        <v>2286</v>
      </c>
      <c r="F15" s="395">
        <f>SUM(C15:E15)</f>
        <v>8186</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-1917</v>
      </c>
      <c r="D16" s="398">
        <v>12</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12</v>
      </c>
      <c r="F16" s="400">
        <f>SUM(C16:E16)</f>
        <v>-1893</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5787</v>
      </c>
      <c r="D17" s="400">
        <f>D$15-D$16+IF(AND(OR('Company Information'!$C$12="District of Columbia",'Company Information'!$C$12="Massachusetts",'Company Information'!$C$12="Vermont"),SUM($C$6:$F$11,$C$15:$F$16,$C$38:$D$38)&lt;&gt;0),I$15-I$16,0)</f>
        <v>2018</v>
      </c>
      <c r="E17" s="400">
        <f>E$15-E$16+IF(AND(OR('Company Information'!$C$12="District of Columbia",'Company Information'!$C$12="Massachusetts",'Company Information'!$C$12="Vermont"),SUM($C$6:$F$11,$C$15:$F$16,$C$38:$D$38)&lt;&gt;0),J$15-J$16,0)</f>
        <v>2274</v>
      </c>
      <c r="F17" s="400">
        <f>F$15-F$16+IF(AND(OR('Company Information'!$C$12="District of Columbia",'Company Information'!$C$12="Massachusetts",'Company Information'!$C$12="Vermont"),SUM($C$6:$F$11,$C$15:$F$16,$C$38:$D$38)&lt;&gt;0),K$15-K$16,0)</f>
        <v>10079</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4.42</v>
      </c>
      <c r="D38" s="405">
        <v>3.75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3.75</v>
      </c>
      <c r="F38" s="432">
        <f>SUM(C$38:E$38)+IF(AND(OR('Company Information'!$C$12="District of Columbia",'Company Information'!$C$12="Massachusetts",'Company Information'!$C$12="Vermont"),SUM($C$6:$F$11,$C$15:$F$16,$C$38:$D$38)&lt;&gt;0,SUM(C$38:D$38)&lt;&gt;SUM(H$38:I$38)),SUM(H$38:I$38),0)</f>
        <v>11.92</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3</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