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K4" i="16"/>
  <c r="H4" i="16"/>
  <c r="G4" i="16"/>
  <c r="F4" i="16"/>
  <c r="E4" i="16"/>
  <c r="D4" i="16"/>
  <c r="C4" i="16"/>
  <c r="L58" i="10"/>
  <c r="G58" i="10"/>
  <c r="AN53" i="10"/>
  <c r="AB53" i="10"/>
  <c r="X53" i="10"/>
  <c r="T53" i="10"/>
  <c r="AN52" i="10"/>
  <c r="AB52" i="10"/>
  <c r="X52" i="10"/>
  <c r="T52" i="10"/>
  <c r="P52" i="10"/>
  <c r="AN51" i="10"/>
  <c r="AB51" i="10"/>
  <c r="X51" i="10"/>
  <c r="T51" i="10"/>
  <c r="AN48" i="10"/>
  <c r="AB48" i="10"/>
  <c r="X48" i="10"/>
  <c r="T48" i="10"/>
  <c r="AN47" i="10"/>
  <c r="AB47" i="10"/>
  <c r="X47" i="10"/>
  <c r="T47" i="10"/>
  <c r="AN46" i="10"/>
  <c r="AM46" i="10"/>
  <c r="AL46" i="10"/>
  <c r="AK46" i="10"/>
  <c r="AB46" i="10"/>
  <c r="AA46" i="10"/>
  <c r="AB39" i="10" s="1"/>
  <c r="Z46" i="10"/>
  <c r="Y46" i="10"/>
  <c r="X46" i="10"/>
  <c r="W46" i="10"/>
  <c r="V46" i="10"/>
  <c r="U46" i="10"/>
  <c r="T46" i="10"/>
  <c r="S46" i="10"/>
  <c r="R46" i="10"/>
  <c r="Q46" i="10"/>
  <c r="O45" i="10"/>
  <c r="N45" i="10"/>
  <c r="M45" i="10"/>
  <c r="AN42" i="10"/>
  <c r="AB42" i="10"/>
  <c r="X42" i="10"/>
  <c r="T42" i="10"/>
  <c r="AN41" i="10"/>
  <c r="AB41" i="10"/>
  <c r="X41" i="10"/>
  <c r="T41" i="10"/>
  <c r="P41" i="10"/>
  <c r="K41" i="10"/>
  <c r="F41" i="10"/>
  <c r="AN39" i="10"/>
  <c r="T39" i="10"/>
  <c r="P39" i="10"/>
  <c r="AN38" i="10"/>
  <c r="AM38" i="10"/>
  <c r="AB38" i="10"/>
  <c r="AA38" i="10"/>
  <c r="X38" i="10"/>
  <c r="W38" i="10"/>
  <c r="T38" i="10"/>
  <c r="S38" i="10"/>
  <c r="P38" i="10"/>
  <c r="O38" i="10"/>
  <c r="L32" i="10"/>
  <c r="L27" i="10"/>
  <c r="L24" i="10"/>
  <c r="L23" i="10"/>
  <c r="L20" i="10"/>
  <c r="L19" i="10"/>
  <c r="L22" i="10" s="1"/>
  <c r="AN17" i="10"/>
  <c r="AM17" i="10"/>
  <c r="AL17" i="10"/>
  <c r="AK17" i="10"/>
  <c r="AB17" i="10"/>
  <c r="AA17" i="10"/>
  <c r="Z17" i="10"/>
  <c r="Y17" i="10"/>
  <c r="AB13" i="10" s="1"/>
  <c r="X17" i="10"/>
  <c r="W17" i="10"/>
  <c r="V17" i="10"/>
  <c r="U17" i="10"/>
  <c r="T17" i="10"/>
  <c r="S17" i="10"/>
  <c r="R17" i="10"/>
  <c r="Q17" i="10"/>
  <c r="P17" i="10"/>
  <c r="O17" i="10"/>
  <c r="N17" i="10"/>
  <c r="M17" i="10"/>
  <c r="AN16" i="10"/>
  <c r="AM16" i="10"/>
  <c r="AB16" i="10"/>
  <c r="AA16" i="10"/>
  <c r="X16" i="10"/>
  <c r="W16" i="10"/>
  <c r="V13" i="10" s="1"/>
  <c r="T16" i="10"/>
  <c r="S16" i="10"/>
  <c r="P16" i="10"/>
  <c r="O16" i="10"/>
  <c r="L16" i="10"/>
  <c r="K16" i="10"/>
  <c r="J16" i="10"/>
  <c r="G16" i="10"/>
  <c r="F16" i="10"/>
  <c r="E16" i="10"/>
  <c r="AN15" i="10"/>
  <c r="AM15" i="10"/>
  <c r="AB15" i="10"/>
  <c r="AA15" i="10"/>
  <c r="X15" i="10"/>
  <c r="W15" i="10"/>
  <c r="T15" i="10"/>
  <c r="S15" i="10"/>
  <c r="P15" i="10"/>
  <c r="O15" i="10"/>
  <c r="L15" i="10"/>
  <c r="AN13" i="10"/>
  <c r="AM13" i="10"/>
  <c r="AL13" i="10"/>
  <c r="AK13" i="10"/>
  <c r="AA13" i="10"/>
  <c r="Z13" i="10"/>
  <c r="Y13" i="10"/>
  <c r="W13" i="10"/>
  <c r="S13" i="10"/>
  <c r="Q13" i="10"/>
  <c r="P12" i="10"/>
  <c r="P45" i="10" s="1"/>
  <c r="O12" i="10"/>
  <c r="N12" i="10"/>
  <c r="M12" i="10"/>
  <c r="K11" i="10"/>
  <c r="J11" i="10"/>
  <c r="F11" i="10"/>
  <c r="E11" i="10"/>
  <c r="L10" i="10"/>
  <c r="K10" i="10"/>
  <c r="J10" i="10"/>
  <c r="G10" i="10"/>
  <c r="F10" i="10"/>
  <c r="E10" i="10"/>
  <c r="G9" i="10"/>
  <c r="F9" i="10"/>
  <c r="E9" i="10"/>
  <c r="G8" i="10"/>
  <c r="F8" i="10"/>
  <c r="E8" i="10"/>
  <c r="AN7" i="10"/>
  <c r="AM7" i="10"/>
  <c r="AB7" i="10"/>
  <c r="AA7" i="10"/>
  <c r="X7" i="10"/>
  <c r="W7" i="10"/>
  <c r="T7" i="10"/>
  <c r="S7" i="10"/>
  <c r="P7" i="10"/>
  <c r="O7" i="10"/>
  <c r="L7" i="10"/>
  <c r="AN6" i="10"/>
  <c r="AM6" i="10"/>
  <c r="AB6" i="10"/>
  <c r="AA6" i="10"/>
  <c r="X6" i="10"/>
  <c r="W6" i="10"/>
  <c r="T6" i="10"/>
  <c r="S6" i="10"/>
  <c r="P6" i="10"/>
  <c r="O6" i="10"/>
  <c r="L6" i="10"/>
  <c r="K6" i="10"/>
  <c r="J6" i="10"/>
  <c r="G6" i="10"/>
  <c r="F6" i="10"/>
  <c r="E6" i="10"/>
  <c r="AU55" i="18"/>
  <c r="AU22" i="4" s="1"/>
  <c r="AT55" i="18"/>
  <c r="AS55" i="18"/>
  <c r="AS22" i="4" s="1"/>
  <c r="AR55" i="18"/>
  <c r="AR22" i="4" s="1"/>
  <c r="AQ55" i="18"/>
  <c r="AQ22" i="4" s="1"/>
  <c r="AP55" i="18"/>
  <c r="AP22" i="4" s="1"/>
  <c r="AO55" i="18"/>
  <c r="AN55" i="18"/>
  <c r="AC55" i="18"/>
  <c r="AC22" i="4" s="1"/>
  <c r="AB55" i="18"/>
  <c r="AB22" i="4" s="1"/>
  <c r="AA55" i="18"/>
  <c r="Z55" i="18"/>
  <c r="Z22" i="4" s="1"/>
  <c r="Y55" i="18"/>
  <c r="X55" i="18"/>
  <c r="X22" i="4" s="1"/>
  <c r="W55" i="18"/>
  <c r="V55" i="18"/>
  <c r="U55" i="18"/>
  <c r="U22" i="4" s="1"/>
  <c r="T55" i="18"/>
  <c r="T22" i="4" s="1"/>
  <c r="S55" i="18"/>
  <c r="S22" i="4" s="1"/>
  <c r="R55" i="18"/>
  <c r="R22" i="4" s="1"/>
  <c r="Q55" i="18"/>
  <c r="Q22" i="4" s="1"/>
  <c r="P55" i="18"/>
  <c r="P22" i="4" s="1"/>
  <c r="O55" i="18"/>
  <c r="O22" i="4" s="1"/>
  <c r="N55" i="18"/>
  <c r="N22" i="4" s="1"/>
  <c r="M55" i="18"/>
  <c r="M22" i="4" s="1"/>
  <c r="L55" i="18"/>
  <c r="L22" i="4" s="1"/>
  <c r="K55" i="18"/>
  <c r="K22" i="4" s="1"/>
  <c r="J55" i="18"/>
  <c r="J22" i="4" s="1"/>
  <c r="I55" i="18"/>
  <c r="H55" i="18"/>
  <c r="H22" i="4" s="1"/>
  <c r="G55" i="18"/>
  <c r="G22" i="4" s="1"/>
  <c r="F55" i="18"/>
  <c r="F22" i="4" s="1"/>
  <c r="E55" i="18"/>
  <c r="E22" i="4" s="1"/>
  <c r="D55" i="18"/>
  <c r="D22" i="4" s="1"/>
  <c r="AU54" i="18"/>
  <c r="AU12" i="4" s="1"/>
  <c r="AT54" i="18"/>
  <c r="AS54" i="18"/>
  <c r="AR54" i="18"/>
  <c r="AQ54" i="18"/>
  <c r="AP54" i="18"/>
  <c r="AO54" i="18"/>
  <c r="AN54" i="18"/>
  <c r="AN12" i="4" s="1"/>
  <c r="AC54" i="18"/>
  <c r="AB54" i="18"/>
  <c r="AB12" i="4" s="1"/>
  <c r="AA54" i="18"/>
  <c r="AA12" i="4" s="1"/>
  <c r="Z54" i="18"/>
  <c r="Z12" i="4" s="1"/>
  <c r="Y54" i="18"/>
  <c r="X54" i="18"/>
  <c r="W54" i="18"/>
  <c r="W12" i="4" s="1"/>
  <c r="V54" i="18"/>
  <c r="V12" i="4" s="1"/>
  <c r="U54" i="18"/>
  <c r="U12" i="4" s="1"/>
  <c r="T54" i="18"/>
  <c r="S54" i="18"/>
  <c r="S12" i="4" s="1"/>
  <c r="R54" i="18"/>
  <c r="Q54" i="18"/>
  <c r="Q12" i="4" s="1"/>
  <c r="P54" i="18"/>
  <c r="P12" i="4" s="1"/>
  <c r="O54" i="18"/>
  <c r="O12" i="4" s="1"/>
  <c r="N54" i="18"/>
  <c r="N12" i="4" s="1"/>
  <c r="M54" i="18"/>
  <c r="L54" i="18"/>
  <c r="L12" i="4" s="1"/>
  <c r="K54" i="18"/>
  <c r="K12" i="4" s="1"/>
  <c r="J54" i="18"/>
  <c r="I54" i="18"/>
  <c r="I12" i="4" s="1"/>
  <c r="H54" i="18"/>
  <c r="G54" i="18"/>
  <c r="F54" i="18"/>
  <c r="F12" i="4" s="1"/>
  <c r="E54" i="18"/>
  <c r="E12" i="4" s="1"/>
  <c r="D54" i="18"/>
  <c r="D12" i="4" s="1"/>
  <c r="AV60" i="4"/>
  <c r="AU60" i="4"/>
  <c r="AT60" i="4"/>
  <c r="AS60" i="4"/>
  <c r="AR60" i="4"/>
  <c r="AQ60" i="4"/>
  <c r="AP60" i="4"/>
  <c r="AO60" i="4"/>
  <c r="AN60" i="4"/>
  <c r="AC60" i="4"/>
  <c r="AB60" i="4"/>
  <c r="AA60" i="4"/>
  <c r="Z60" i="4"/>
  <c r="Y60" i="4"/>
  <c r="X60" i="4"/>
  <c r="W60" i="4"/>
  <c r="V60" i="4"/>
  <c r="U60" i="4"/>
  <c r="T60" i="4"/>
  <c r="S60" i="4"/>
  <c r="R60" i="4"/>
  <c r="Q60" i="4"/>
  <c r="P60" i="4"/>
  <c r="O60" i="4"/>
  <c r="N60" i="4"/>
  <c r="M60" i="4"/>
  <c r="L60" i="4"/>
  <c r="K60" i="4"/>
  <c r="J60" i="4"/>
  <c r="I60" i="4"/>
  <c r="H60" i="4"/>
  <c r="G60" i="4"/>
  <c r="F60" i="4"/>
  <c r="E60" i="4"/>
  <c r="D60" i="4"/>
  <c r="AT22" i="4"/>
  <c r="AO22" i="4"/>
  <c r="AN22" i="4"/>
  <c r="AA22" i="4"/>
  <c r="Y22" i="4"/>
  <c r="W22" i="4"/>
  <c r="V22" i="4"/>
  <c r="I22" i="4"/>
  <c r="AT12" i="4"/>
  <c r="AS12" i="4"/>
  <c r="AR12" i="4"/>
  <c r="AQ12" i="4"/>
  <c r="AP12" i="4"/>
  <c r="AO12" i="4"/>
  <c r="AC12" i="4"/>
  <c r="Y12" i="4"/>
  <c r="X12" i="4"/>
  <c r="T12" i="4"/>
  <c r="R12" i="4"/>
  <c r="M12" i="4"/>
  <c r="J12" i="4"/>
  <c r="H12" i="4"/>
  <c r="G12" i="4"/>
  <c r="AU5" i="4"/>
  <c r="AT5" i="4"/>
  <c r="AS5" i="4"/>
  <c r="AR5" i="4"/>
  <c r="AQ5" i="4"/>
  <c r="AP5" i="4"/>
  <c r="AO5" i="4"/>
  <c r="AN5" i="4"/>
  <c r="AC5" i="4"/>
  <c r="AB5" i="4"/>
  <c r="AA5" i="4"/>
  <c r="Z5" i="4"/>
  <c r="Y5" i="4"/>
  <c r="X5" i="4"/>
  <c r="W5" i="4"/>
  <c r="V5" i="4"/>
  <c r="U5" i="4"/>
  <c r="T5" i="4"/>
  <c r="S5" i="4"/>
  <c r="R5" i="4"/>
  <c r="Q5" i="4"/>
  <c r="P5" i="4"/>
  <c r="O5" i="4"/>
  <c r="N5" i="4"/>
  <c r="M5" i="4"/>
  <c r="J15" i="10" s="1"/>
  <c r="L5" i="4"/>
  <c r="K5" i="4"/>
  <c r="J5" i="4"/>
  <c r="I5" i="4"/>
  <c r="G15" i="10" s="1"/>
  <c r="H5" i="4"/>
  <c r="G5" i="4"/>
  <c r="F5" i="4"/>
  <c r="E5" i="4"/>
  <c r="E15" i="10" s="1"/>
  <c r="D5" i="4"/>
  <c r="J7" i="10" l="1"/>
  <c r="H17" i="10" s="1"/>
  <c r="H45" i="10" s="1"/>
  <c r="F15" i="10"/>
  <c r="K15" i="10"/>
  <c r="K7" i="10"/>
  <c r="I17" i="10" s="1"/>
  <c r="I45" i="10" s="1"/>
  <c r="G7" i="10"/>
  <c r="G24" i="10" s="1"/>
  <c r="E7" i="10"/>
  <c r="L30" i="10"/>
  <c r="L31" i="10" s="1"/>
  <c r="L29" i="10" s="1"/>
  <c r="L33" i="10" s="1"/>
  <c r="L34" i="10" s="1"/>
  <c r="X39" i="10"/>
  <c r="P42" i="10"/>
  <c r="P47" i="10" s="1"/>
  <c r="P48" i="10" s="1"/>
  <c r="P51" i="10" s="1"/>
  <c r="P53" i="10" s="1"/>
  <c r="E11" i="16" s="1"/>
  <c r="L21" i="10"/>
  <c r="L26" i="10" s="1"/>
  <c r="L25" i="10" s="1"/>
  <c r="L28" i="10" s="1"/>
  <c r="X13" i="10"/>
  <c r="T13" i="10"/>
  <c r="U13" i="10"/>
  <c r="R13" i="10"/>
  <c r="I12" i="10"/>
  <c r="K17" i="10" l="1"/>
  <c r="G27" i="10"/>
  <c r="J12" i="10"/>
  <c r="F7" i="10"/>
  <c r="J38" i="10"/>
  <c r="J17" i="10"/>
  <c r="G23" i="10"/>
  <c r="H12" i="10"/>
  <c r="E17" i="10"/>
  <c r="G19" i="10"/>
  <c r="G20" i="10"/>
  <c r="G32" i="10"/>
  <c r="F17" i="10"/>
  <c r="K12" i="10" l="1"/>
  <c r="G22" i="10"/>
  <c r="D12" i="10"/>
  <c r="C12" i="10"/>
  <c r="E12" i="10"/>
  <c r="G30" i="10"/>
  <c r="G31" i="10" s="1"/>
  <c r="G29" i="10" s="1"/>
  <c r="G33" i="10" s="1"/>
  <c r="G34" i="10" s="1"/>
  <c r="G21" i="10"/>
  <c r="G26" i="10" s="1"/>
  <c r="G25" i="10" s="1"/>
  <c r="G28" i="10" s="1"/>
  <c r="D17" i="10"/>
  <c r="D45" i="10" s="1"/>
  <c r="J45" i="10"/>
  <c r="K38" i="10"/>
  <c r="C17" i="10"/>
  <c r="C45" i="10" s="1"/>
  <c r="E38" i="10"/>
  <c r="F12" i="10" l="1"/>
  <c r="K52" i="10"/>
  <c r="K53" i="10"/>
  <c r="D11" i="16" s="1"/>
  <c r="K45" i="10"/>
  <c r="K42" i="10"/>
  <c r="K39" i="10"/>
  <c r="E45" i="10"/>
  <c r="F38" i="10"/>
  <c r="K48" i="10" l="1"/>
  <c r="K51" i="10" s="1"/>
  <c r="K47" i="10"/>
  <c r="F42" i="10"/>
  <c r="F53" i="10"/>
  <c r="C11" i="16" s="1"/>
  <c r="F45" i="10"/>
  <c r="F52" i="10"/>
  <c r="F39" i="10"/>
  <c r="F48" i="10" l="1"/>
  <c r="F51" i="10" s="1"/>
  <c r="F47" i="10"/>
</calcChain>
</file>

<file path=xl/sharedStrings.xml><?xml version="1.0" encoding="utf-8"?>
<sst xmlns="http://schemas.openxmlformats.org/spreadsheetml/2006/main" count="627" uniqueCount="528">
  <si>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</si>
  <si>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</si>
  <si>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</si>
  <si>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</si>
  <si>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</si>
  <si>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</si>
  <si>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</si>
  <si>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</si>
  <si>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</si>
  <si>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</si>
  <si>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</si>
  <si>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</si>
  <si>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</si>
  <si>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</si>
  <si>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</si>
  <si>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</si>
  <si>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</si>
  <si>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</si>
  <si>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</si>
  <si>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</si>
  <si>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</si>
  <si>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</si>
  <si>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</si>
  <si>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</si>
  <si>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</si>
  <si>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</si>
  <si>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</si>
  <si>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</si>
  <si>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</si>
  <si>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</si>
  <si>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</si>
  <si>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</si>
  <si>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</si>
  <si>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</si>
  <si>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</si>
  <si>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</si>
  <si>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</si>
  <si>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</si>
  <si>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</si>
  <si>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</si>
  <si>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</si>
  <si>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</si>
  <si>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</si>
  <si>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</si>
  <si>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</si>
  <si>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</si>
  <si>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</si>
  <si>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</si>
  <si>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</si>
  <si>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</si>
  <si>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</si>
  <si>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</si>
  <si>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</si>
  <si>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</si>
  <si>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</si>
  <si>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</si>
  <si>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</si>
  <si>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</si>
  <si>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</si>
  <si>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</si>
  <si>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</si>
  <si>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</si>
  <si>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</si>
  <si>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</si>
  <si>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</si>
  <si>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</si>
  <si>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</si>
  <si>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</si>
  <si>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</si>
  <si>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</si>
  <si>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</si>
  <si>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</si>
  <si>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</si>
  <si>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</si>
  <si>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</si>
  <si>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</si>
  <si>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</si>
  <si>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</si>
  <si>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</si>
  <si>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</si>
  <si>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</si>
  <si>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</si>
  <si>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</si>
  <si>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</si>
  <si>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</si>
  <si>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</si>
  <si>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</si>
  <si>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</si>
  <si>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</si>
  <si>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</si>
  <si>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</si>
  <si>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</si>
  <si>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</si>
  <si>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</si>
  <si>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</si>
  <si>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</si>
  <si>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</si>
  <si>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</si>
  <si>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</si>
  <si>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</si>
  <si>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</si>
  <si>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</si>
  <si>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</si>
  <si>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</si>
  <si>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</si>
  <si>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</si>
  <si>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</si>
  <si>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</si>
  <si>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</si>
  <si>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</si>
  <si>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</si>
  <si>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</si>
  <si>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</si>
  <si>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</si>
  <si>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</si>
  <si>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</si>
  <si>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</si>
  <si>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</si>
  <si>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</si>
  <si>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</si>
  <si>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</si>
  <si>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</si>
  <si>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</si>
  <si>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</si>
  <si>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</si>
  <si>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</si>
  <si>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</si>
  <si>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</si>
  <si>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</si>
  <si>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</si>
  <si>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</si>
  <si>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</si>
  <si>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</si>
  <si>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</si>
  <si>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</si>
  <si>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</si>
  <si>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</si>
  <si>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</si>
  <si>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</si>
  <si>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</si>
  <si>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</si>
  <si>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</si>
  <si>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</si>
  <si>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</si>
  <si>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</si>
  <si>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</si>
  <si>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</si>
  <si>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</si>
  <si>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</si>
  <si>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</si>
  <si>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</si>
  <si>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</si>
  <si>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</si>
  <si>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</si>
  <si>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</si>
  <si>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</si>
  <si>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</si>
  <si>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</si>
  <si>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</si>
  <si>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</si>
  <si>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</si>
  <si>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</si>
  <si>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</si>
  <si>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</si>
  <si>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</si>
  <si>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</si>
  <si>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</si>
  <si>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</si>
  <si>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</si>
  <si>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</si>
  <si>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</si>
  <si>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</si>
  <si>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</si>
  <si>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</si>
  <si>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</si>
  <si>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</si>
  <si>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</si>
  <si>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</si>
  <si>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</si>
  <si>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</si>
  <si>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</si>
  <si>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</si>
  <si>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</si>
  <si>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</si>
  <si>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</si>
  <si>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</si>
  <si>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</si>
  <si>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</si>
  <si>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</si>
  <si>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</si>
  <si>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</si>
  <si>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</si>
  <si>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</si>
  <si>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</si>
  <si>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</si>
  <si>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</si>
  <si>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</si>
  <si>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</si>
  <si>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</si>
  <si>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</si>
  <si>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</si>
  <si>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</si>
  <si>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</si>
  <si>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</si>
  <si>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</si>
  <si>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</si>
  <si>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</si>
  <si>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</si>
  <si>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</si>
  <si>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</si>
  <si>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</si>
  <si>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</si>
  <si>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</si>
  <si>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</si>
  <si>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</si>
  <si>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</si>
  <si>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</si>
  <si>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</si>
  <si>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</si>
  <si>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</si>
  <si>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</si>
  <si>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</si>
  <si>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</si>
  <si>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</si>
  <si>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</si>
  <si>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</si>
  <si>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</si>
  <si>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</si>
  <si>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</si>
  <si>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</si>
  <si>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</si>
  <si>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</si>
  <si>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</si>
  <si>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</si>
  <si>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</si>
  <si>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</si>
  <si>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</si>
  <si>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</si>
  <si>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</si>
  <si>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</si>
  <si>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</si>
  <si>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</si>
  <si>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</si>
  <si>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</si>
  <si>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</si>
  <si>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</si>
  <si>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</si>
  <si>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</si>
  <si>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</si>
  <si>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</si>
  <si>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</si>
  <si>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</si>
  <si>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</si>
  <si>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</si>
  <si>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</si>
  <si>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</si>
  <si>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</si>
  <si>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</si>
  <si>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</si>
  <si>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</si>
  <si>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</si>
  <si>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</si>
  <si>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</si>
  <si>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</si>
  <si>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</si>
  <si>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</si>
  <si>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</si>
  <si>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</si>
  <si>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</si>
  <si>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</si>
  <si>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</si>
  <si>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</si>
  <si>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</si>
  <si>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</si>
  <si>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</si>
  <si>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</si>
  <si>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</si>
  <si>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</si>
  <si>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</si>
  <si>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</si>
  <si>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</si>
  <si>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</si>
  <si>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</si>
  <si>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</si>
  <si>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</si>
  <si>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</si>
  <si>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</si>
  <si>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</si>
  <si>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</si>
  <si>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</si>
  <si>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</si>
  <si>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</si>
  <si>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</si>
  <si>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</si>
  <si>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</si>
  <si>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</si>
  <si>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</si>
  <si>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</si>
  <si>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</si>
  <si>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</si>
  <si>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</si>
  <si>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</si>
  <si>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</si>
  <si>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</si>
  <si>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</si>
  <si>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</si>
  <si>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</si>
  <si>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</si>
  <si>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</si>
  <si>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</si>
  <si>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</si>
  <si>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</si>
  <si>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</si>
  <si>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</si>
  <si>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</si>
  <si>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</si>
  <si>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</si>
  <si>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</si>
  <si>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</si>
  <si>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</si>
  <si>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</si>
  <si>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</si>
  <si>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</si>
  <si>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</si>
  <si>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</si>
  <si>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</si>
  <si>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</si>
  <si>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</si>
  <si>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</si>
  <si>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</si>
  <si>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</si>
  <si>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</si>
  <si>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</si>
  <si>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</si>
  <si>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</si>
  <si>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</si>
  <si>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</si>
  <si>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</si>
  <si>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</si>
  <si>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</si>
  <si>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</si>
  <si>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</si>
  <si>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</si>
  <si>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</si>
  <si>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</si>
  <si>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</si>
  <si>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</si>
  <si>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</si>
  <si>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</si>
  <si>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</si>
  <si>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</si>
  <si>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</si>
  <si>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</si>
  <si>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</si>
  <si>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</si>
  <si>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</si>
  <si>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</si>
  <si>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</si>
  <si>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</si>
  <si>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</si>
  <si>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</si>
  <si>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</si>
  <si>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</si>
  <si>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</si>
  <si>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</si>
  <si>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</si>
  <si>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</si>
  <si>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</si>
  <si>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</si>
  <si>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</si>
  <si>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</si>
  <si>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</si>
  <si>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</si>
  <si>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</si>
  <si>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</si>
  <si>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</si>
  <si>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</si>
  <si>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</si>
  <si>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</si>
  <si>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</si>
  <si>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</si>
  <si>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</si>
  <si>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</si>
  <si>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</si>
  <si>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</si>
  <si>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</si>
  <si>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</si>
  <si>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</si>
  <si>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</si>
  <si>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</si>
  <si>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</si>
  <si>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</si>
  <si>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</si>
  <si>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</si>
  <si>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</si>
  <si>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</si>
  <si>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</si>
  <si>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</si>
  <si>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</si>
  <si>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</si>
  <si>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</si>
  <si>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</si>
  <si>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</si>
  <si>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</si>
  <si>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</si>
  <si>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</si>
  <si>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</si>
  <si>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</si>
  <si>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</si>
  <si>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</si>
  <si>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</si>
  <si>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</si>
  <si>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</si>
  <si>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</si>
  <si>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</si>
  <si>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</si>
  <si>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</si>
  <si>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</si>
  <si>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</si>
  <si>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</si>
  <si>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</si>
  <si>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</si>
  <si>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</si>
  <si>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</si>
  <si>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</si>
  <si>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</si>
  <si>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</si>
  <si>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</si>
  <si>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</si>
  <si>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</si>
  <si>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</si>
  <si>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</si>
  <si>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</si>
  <si>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</si>
  <si>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</si>
  <si>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</si>
  <si>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</si>
  <si>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</si>
  <si>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</si>
  <si>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</si>
  <si>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</si>
  <si>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</si>
  <si>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</si>
  <si>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</si>
  <si>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</si>
  <si>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</si>
  <si>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</si>
  <si>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</si>
  <si>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</si>
  <si>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</si>
  <si>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</si>
  <si>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</si>
  <si>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</si>
  <si>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</si>
  <si>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</si>
  <si>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</si>
  <si>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</si>
  <si>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</si>
  <si>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</si>
  <si>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</si>
  <si>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</si>
  <si>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</si>
  <si>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</si>
  <si>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</si>
  <si>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</si>
  <si>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</si>
  <si>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</si>
  <si>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</si>
  <si>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</si>
  <si>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</si>
  <si>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</si>
  <si>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</si>
  <si>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</si>
  <si>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</si>
  <si>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</si>
  <si>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</si>
  <si>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</si>
  <si>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</si>
  <si>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</si>
  <si>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</si>
  <si>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</si>
  <si>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</si>
  <si>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</si>
  <si>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</si>
  <si>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</si>
  <si>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</si>
  <si>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</si>
  <si>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</si>
  <si>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</si>
  <si>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</si>
  <si>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</si>
  <si>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</si>
  <si>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</si>
  <si>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</si>
  <si>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</si>
  <si>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</si>
  <si>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Benefit Plan of Illinois, Inc.</t>
  </si>
  <si>
    <t>HUMANA GRP</t>
  </si>
  <si>
    <t>Humana</t>
  </si>
  <si>
    <t>119</t>
  </si>
  <si>
    <t>2015</t>
  </si>
  <si>
    <t>7915 N Hale Avenue, Suite D Peoria, IL 61615</t>
  </si>
  <si>
    <t>371326199</t>
  </si>
  <si>
    <t>060052</t>
  </si>
  <si>
    <t>60052</t>
  </si>
  <si>
    <t>211</t>
  </si>
  <si>
    <t>Incurred claims, when allocated, are allocated based upon actual claims payment amounts.</t>
  </si>
  <si>
    <t xml:space="preserve">This category consists of FICA taxes that were not included in one of the Quality Improvement category below. </t>
  </si>
  <si>
    <t>Allocations are based on detailed cost examination and interview processes to identify the product and market supported by the</t>
  </si>
  <si>
    <t>department. Quality improvement activities are also identified for each department. Each department's expenses are allocated to the Entity,</t>
  </si>
  <si>
    <t xml:space="preserve">State, Product and Segment using the market/product information along with weighted membership.  </t>
  </si>
  <si>
    <t>Federal Income taxes are allocated based upon statutory income.</t>
  </si>
  <si>
    <t>This category primarily consists of state premium taxes that are recorded to Entity, State, Product and Segment based on the underlying</t>
  </si>
  <si>
    <t xml:space="preserve">premium.  Other taxes are recorded directly to the Entity incurring the tax and allocated to State, Product and Segment using weighted </t>
  </si>
  <si>
    <t>membership. These other taxes include frnachise tax, occupational tax and guaranty and comp assessments.</t>
  </si>
  <si>
    <t>State Income taxes are allocated based upon statutory income.</t>
  </si>
  <si>
    <t>Not applicable</t>
  </si>
  <si>
    <t xml:space="preserve">The category consists of regulatory assessments that are recorded directly to the entity that was billed and allocated to State, Product </t>
  </si>
  <si>
    <t>and Segment using weighted membership.</t>
  </si>
  <si>
    <t xml:space="preserve">Costs are recorded directly to Entity, State, Product and Segment when the member receiving the service is specifically identified.  </t>
  </si>
  <si>
    <t xml:space="preserve">Allocations are based on detailed cost examination and interview processes to identify the product and market supported by the </t>
  </si>
  <si>
    <t xml:space="preserve">department. Quality improvement activities are also identified for each department. Each department's expenses are allocated to the Entity, </t>
  </si>
  <si>
    <t xml:space="preserve">State, Product and Segment using the market/product information along with weighted membership.  </t>
  </si>
  <si>
    <t xml:space="preserve">Costs are recorded directly to Product and Segment when possible.  Allocations are based on detailed cost the </t>
  </si>
  <si>
    <t xml:space="preserve">product supported by the department. Quality improvement activities are also identified for each department. </t>
  </si>
  <si>
    <t xml:space="preserve">Each department's expenses are allocated to the Entity, State, Product and Segment using the product information </t>
  </si>
  <si>
    <t xml:space="preserve">along with weighted membership.  </t>
  </si>
  <si>
    <t xml:space="preserve">Costs are recorded directly to Entity, State, Product and Segment based on the identification of the Group or Member.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</si>
</sst>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row>
    <row r="12" spans="1:6" x14ac:dyDescent="0.2">
      <c r="B12" s="147" t="s">
        <v>35</v>
      </c>
      <c r="C12" s="480" t="s">
        <v>149</v>
      </c>
    </row>
    <row r="13" spans="1:6" x14ac:dyDescent="0.2">
      <c r="B13" s="147" t="s">
        <v>50</v>
      </c>
      <c r="C13" s="480" t="s">
        <v>154</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6827734</v>
      </c>
      <c r="Q5" s="213">
        <f>SUM('Pt 2 Premium and Claims'!Q$5,'Pt 2 Premium and Claims'!Q$6,-'Pt 2 Premium and Claims'!Q$7,-'Pt 2 Premium and Claims'!Q$13,'Pt 2 Premium and Claims'!Q$14)</f>
        <v>6830192.4800000004</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f>SUM('Pt 2 Premium and Claims'!AN$5,'Pt 2 Premium and Claims'!AN$6,-'Pt 2 Premium and Claims'!AN$7,-'Pt 2 Premium and Claims'!AN$13,'Pt 2 Premium and Claims'!AN$14)</f>
        <v>0</v>
      </c>
      <c r="AO5" s="213">
        <f>SUM('Pt 2 Premium and Claims'!AO$5,'Pt 2 Premium and Claims'!AO$6,-'Pt 2 Premium and Claims'!AO$7,-'Pt 2 Premium and Claims'!AO$13,'Pt 2 Premium and Claims'!AO$14)</f>
        <v>0</v>
      </c>
      <c r="AP5" s="213">
        <f>SUM('Pt 2 Premium and Claims'!AP$5,'Pt 2 Premium and Claims'!AP$6,-'Pt 2 Premium and Claims'!AP$7,-'Pt 2 Premium and Claims'!AP$13,'Pt 2 Premium and Claims'!AP$14)</f>
        <v>0</v>
      </c>
      <c r="AQ5" s="213">
        <f>SUM('Pt 2 Premium and Claims'!AQ$5,'Pt 2 Premium and Claims'!AQ$6,-'Pt 2 Premium and Claims'!AQ$7,-'Pt 2 Premium and Claims'!AQ$13,'Pt 2 Premium and Claims'!AQ$14)</f>
        <v>0</v>
      </c>
      <c r="AR5" s="213">
        <f>SUM('Pt 2 Premium and Claims'!AR$5,'Pt 2 Premium and Claims'!AR$6,-'Pt 2 Premium and Claims'!AR$7,-'Pt 2 Premium and Claims'!AR$13,'Pt 2 Premium and Claims'!AR$14)</f>
        <v>0</v>
      </c>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15785</v>
      </c>
      <c r="AU5" s="214">
        <f>SUM('Pt 2 Premium and Claims'!AU$5,'Pt 2 Premium and Claims'!AU$6,-'Pt 2 Premium and Claims'!AU$7,-'Pt 2 Premium and Claims'!AU$13,'Pt 2 Premium and Claims'!AU$14)</f>
        <v>693917822</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c r="F7" s="217"/>
      <c r="G7" s="217"/>
      <c r="H7" s="217"/>
      <c r="I7" s="216"/>
      <c r="J7" s="216">
        <v>0</v>
      </c>
      <c r="K7" s="217"/>
      <c r="L7" s="217"/>
      <c r="M7" s="217"/>
      <c r="N7" s="217"/>
      <c r="O7" s="216"/>
      <c r="P7" s="216">
        <v>-429</v>
      </c>
      <c r="Q7" s="217">
        <v>-429</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-7036</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-233612</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7493841</v>
      </c>
      <c r="Q12" s="213">
        <f>'Pt 2 Premium and Claims'!Q$54</f>
        <v>7530922.6499999994</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f>'Pt 2 Premium and Claims'!AN$54</f>
        <v>0</v>
      </c>
      <c r="AO12" s="213">
        <f>'Pt 2 Premium and Claims'!AO$54</f>
        <v>0</v>
      </c>
      <c r="AP12" s="213">
        <f>'Pt 2 Premium and Claims'!AP$54</f>
        <v>0</v>
      </c>
      <c r="AQ12" s="213">
        <f>'Pt 2 Premium and Claims'!AQ$54</f>
        <v>0</v>
      </c>
      <c r="AR12" s="213">
        <f>'Pt 2 Premium and Claims'!AR$54</f>
        <v>0</v>
      </c>
      <c r="AS12" s="212">
        <f>'Pt 2 Premium and Claims'!AS$54</f>
        <v>0</v>
      </c>
      <c r="AT12" s="214">
        <f>'Pt 2 Premium and Claims'!AT$54</f>
        <v>22626</v>
      </c>
      <c r="AU12" s="214">
        <f>'Pt 2 Premium and Claims'!AU$54</f>
        <v>608702174</v>
      </c>
      <c r="AV12" s="291"/>
      <c r="AW12" s="296"/>
    </row>
    <row r="13" spans="1:49" ht="25.5" x14ac:dyDescent="0.2">
      <c r="B13" s="239" t="s">
        <v>230</v>
      </c>
      <c r="C13" s="203" t="s">
        <v>37</v>
      </c>
      <c r="D13" s="216">
        <v>0</v>
      </c>
      <c r="E13" s="217"/>
      <c r="F13" s="217"/>
      <c r="G13" s="268"/>
      <c r="H13" s="269"/>
      <c r="I13" s="216"/>
      <c r="J13" s="216">
        <v>0</v>
      </c>
      <c r="K13" s="217"/>
      <c r="L13" s="217"/>
      <c r="M13" s="268"/>
      <c r="N13" s="269"/>
      <c r="O13" s="216"/>
      <c r="P13" s="216">
        <v>990804</v>
      </c>
      <c r="Q13" s="217">
        <v>992076.3</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v>97446289</v>
      </c>
      <c r="AV13" s="290"/>
      <c r="AW13" s="297"/>
    </row>
    <row r="14" spans="1:49" ht="25.5" x14ac:dyDescent="0.2">
      <c r="B14" s="239" t="s">
        <v>231</v>
      </c>
      <c r="C14" s="203" t="s">
        <v>6</v>
      </c>
      <c r="D14" s="216">
        <v>0</v>
      </c>
      <c r="E14" s="217"/>
      <c r="F14" s="217"/>
      <c r="G14" s="267"/>
      <c r="H14" s="270"/>
      <c r="I14" s="216"/>
      <c r="J14" s="216">
        <v>0</v>
      </c>
      <c r="K14" s="217"/>
      <c r="L14" s="217"/>
      <c r="M14" s="267"/>
      <c r="N14" s="270"/>
      <c r="O14" s="216"/>
      <c r="P14" s="216">
        <v>161963</v>
      </c>
      <c r="Q14" s="217">
        <v>158196.57999999999</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30256285</v>
      </c>
      <c r="AV14" s="290"/>
      <c r="AW14" s="297"/>
    </row>
    <row r="15" spans="1:49" ht="38.25" x14ac:dyDescent="0.2">
      <c r="B15" s="239" t="s">
        <v>232</v>
      </c>
      <c r="C15" s="203" t="s">
        <v>7</v>
      </c>
      <c r="D15" s="216">
        <v>0</v>
      </c>
      <c r="E15" s="217"/>
      <c r="F15" s="217"/>
      <c r="G15" s="267"/>
      <c r="H15" s="273"/>
      <c r="I15" s="216"/>
      <c r="J15" s="216">
        <v>0</v>
      </c>
      <c r="K15" s="217"/>
      <c r="L15" s="217"/>
      <c r="M15" s="267"/>
      <c r="N15" s="273"/>
      <c r="O15" s="216"/>
      <c r="P15" s="216">
        <v>1262</v>
      </c>
      <c r="Q15" s="217">
        <v>1261.9000000000001</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803</v>
      </c>
      <c r="AU15" s="220">
        <v>73592</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-169216</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3028347</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3000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653</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7622.99</v>
      </c>
      <c r="Q22" s="222">
        <f>'Pt 2 Premium and Claims'!Q$55</f>
        <v>7622.99</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f>'Pt 2 Premium and Claims'!AN$55</f>
        <v>0</v>
      </c>
      <c r="AO22" s="222">
        <f>'Pt 2 Premium and Claims'!AO$55</f>
        <v>0</v>
      </c>
      <c r="AP22" s="222">
        <f>'Pt 2 Premium and Claims'!AP$55</f>
        <v>0</v>
      </c>
      <c r="AQ22" s="222">
        <f>'Pt 2 Premium and Claims'!AQ$55</f>
        <v>0</v>
      </c>
      <c r="AR22" s="222">
        <f>'Pt 2 Premium and Claims'!AR$55</f>
        <v>0</v>
      </c>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0</v>
      </c>
      <c r="K25" s="217">
        <v>0</v>
      </c>
      <c r="L25" s="217"/>
      <c r="M25" s="217"/>
      <c r="N25" s="217"/>
      <c r="O25" s="216"/>
      <c r="P25" s="216">
        <v>-317869.09000000003</v>
      </c>
      <c r="Q25" s="217">
        <v>-317869.09999999998</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-3308.13</v>
      </c>
      <c r="AU25" s="220">
        <v>6555695.0499999998</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v>2195.63</v>
      </c>
      <c r="Q26" s="217">
        <v>2195.63</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v>112217.41</v>
      </c>
      <c r="Q27" s="217">
        <v>112217.41</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v>11665013.140000001</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v>8793.5</v>
      </c>
      <c r="Q28" s="217">
        <v>8793.5</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-17.32</v>
      </c>
      <c r="AU28" s="220">
        <v>1052802.67</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v>0</v>
      </c>
      <c r="K30" s="217">
        <v>0</v>
      </c>
      <c r="L30" s="217"/>
      <c r="M30" s="217"/>
      <c r="N30" s="217"/>
      <c r="O30" s="216"/>
      <c r="P30" s="216">
        <v>-18299.72</v>
      </c>
      <c r="Q30" s="217">
        <v>-18299.72</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-285.45</v>
      </c>
      <c r="AU30" s="220">
        <v>697163.06</v>
      </c>
      <c r="AV30" s="220"/>
      <c r="AW30" s="297"/>
    </row>
    <row r="31" spans="1:49" x14ac:dyDescent="0.2">
      <c r="B31" s="242" t="s">
        <v>247</v>
      </c>
      <c r="C31" s="203"/>
      <c r="D31" s="216"/>
      <c r="E31" s="217"/>
      <c r="F31" s="217"/>
      <c r="G31" s="217"/>
      <c r="H31" s="217"/>
      <c r="I31" s="216"/>
      <c r="J31" s="216"/>
      <c r="K31" s="217"/>
      <c r="L31" s="217"/>
      <c r="M31" s="217"/>
      <c r="N31" s="217"/>
      <c r="O31" s="216"/>
      <c r="P31" s="216">
        <v>-863</v>
      </c>
      <c r="Q31" s="217">
        <v>-863</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273.83999999999997</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v>35022.68</v>
      </c>
      <c r="Q34" s="217">
        <v>35022.68</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v>3910.04</v>
      </c>
      <c r="Q35" s="217">
        <v>3910.04</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797.88</v>
      </c>
      <c r="AU35" s="220">
        <v>391919.46</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v>0</v>
      </c>
      <c r="K37" s="225">
        <v>0</v>
      </c>
      <c r="L37" s="225"/>
      <c r="M37" s="225"/>
      <c r="N37" s="225"/>
      <c r="O37" s="224"/>
      <c r="P37" s="224">
        <v>14324</v>
      </c>
      <c r="Q37" s="225">
        <v>14323.54</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4983484</v>
      </c>
      <c r="AV37" s="226">
        <v>0</v>
      </c>
      <c r="AW37" s="296"/>
    </row>
    <row r="38" spans="1:49" x14ac:dyDescent="0.2">
      <c r="B38" s="239" t="s">
        <v>254</v>
      </c>
      <c r="C38" s="203" t="s">
        <v>16</v>
      </c>
      <c r="D38" s="216">
        <v>0</v>
      </c>
      <c r="E38" s="217"/>
      <c r="F38" s="217"/>
      <c r="G38" s="217"/>
      <c r="H38" s="217"/>
      <c r="I38" s="216"/>
      <c r="J38" s="216">
        <v>0</v>
      </c>
      <c r="K38" s="217">
        <v>0</v>
      </c>
      <c r="L38" s="217"/>
      <c r="M38" s="217"/>
      <c r="N38" s="217"/>
      <c r="O38" s="216"/>
      <c r="P38" s="216">
        <v>933</v>
      </c>
      <c r="Q38" s="217">
        <v>932.8</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1771618</v>
      </c>
      <c r="AV38" s="220">
        <v>0</v>
      </c>
      <c r="AW38" s="297"/>
    </row>
    <row r="39" spans="1:49" x14ac:dyDescent="0.2">
      <c r="B39" s="242" t="s">
        <v>255</v>
      </c>
      <c r="C39" s="203" t="s">
        <v>17</v>
      </c>
      <c r="D39" s="216">
        <v>0</v>
      </c>
      <c r="E39" s="217"/>
      <c r="F39" s="217"/>
      <c r="G39" s="217"/>
      <c r="H39" s="217"/>
      <c r="I39" s="216"/>
      <c r="J39" s="216">
        <v>0</v>
      </c>
      <c r="K39" s="217">
        <v>0</v>
      </c>
      <c r="L39" s="217"/>
      <c r="M39" s="217"/>
      <c r="N39" s="217"/>
      <c r="O39" s="216"/>
      <c r="P39" s="216">
        <v>4936</v>
      </c>
      <c r="Q39" s="217">
        <v>4935.99</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5</v>
      </c>
      <c r="AU39" s="220">
        <v>1252716</v>
      </c>
      <c r="AV39" s="220">
        <v>0</v>
      </c>
      <c r="AW39" s="297"/>
    </row>
    <row r="40" spans="1:49" x14ac:dyDescent="0.2">
      <c r="B40" s="242" t="s">
        <v>256</v>
      </c>
      <c r="C40" s="203" t="s">
        <v>38</v>
      </c>
      <c r="D40" s="216">
        <v>0</v>
      </c>
      <c r="E40" s="217"/>
      <c r="F40" s="217"/>
      <c r="G40" s="217"/>
      <c r="H40" s="217"/>
      <c r="I40" s="216"/>
      <c r="J40" s="216">
        <v>0</v>
      </c>
      <c r="K40" s="217">
        <v>0</v>
      </c>
      <c r="L40" s="217"/>
      <c r="M40" s="217"/>
      <c r="N40" s="217"/>
      <c r="O40" s="216"/>
      <c r="P40" s="216">
        <v>35743</v>
      </c>
      <c r="Q40" s="217">
        <v>35742.97</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6</v>
      </c>
      <c r="AU40" s="220">
        <v>4400409</v>
      </c>
      <c r="AV40" s="220">
        <v>0</v>
      </c>
      <c r="AW40" s="297"/>
    </row>
    <row r="41" spans="1:49" s="5" customFormat="1" ht="25.5" x14ac:dyDescent="0.2">
      <c r="A41" s="35"/>
      <c r="B41" s="242" t="s">
        <v>257</v>
      </c>
      <c r="C41" s="203" t="s">
        <v>129</v>
      </c>
      <c r="D41" s="216">
        <v>0</v>
      </c>
      <c r="E41" s="217"/>
      <c r="F41" s="217"/>
      <c r="G41" s="217"/>
      <c r="H41" s="217"/>
      <c r="I41" s="216"/>
      <c r="J41" s="216">
        <v>0</v>
      </c>
      <c r="K41" s="217"/>
      <c r="L41" s="217"/>
      <c r="M41" s="217"/>
      <c r="N41" s="217"/>
      <c r="O41" s="216"/>
      <c r="P41" s="216">
        <v>6524</v>
      </c>
      <c r="Q41" s="217">
        <v>6524.31</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23</v>
      </c>
      <c r="AU41" s="220">
        <v>857739</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v>0</v>
      </c>
      <c r="K44" s="225">
        <v>0</v>
      </c>
      <c r="L44" s="225"/>
      <c r="M44" s="225"/>
      <c r="N44" s="225"/>
      <c r="O44" s="224"/>
      <c r="P44" s="224">
        <v>56429</v>
      </c>
      <c r="Q44" s="225">
        <v>56429.19</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32</v>
      </c>
      <c r="AU44" s="226">
        <v>7327877</v>
      </c>
      <c r="AV44" s="226">
        <v>0</v>
      </c>
      <c r="AW44" s="296"/>
    </row>
    <row r="45" spans="1:49" x14ac:dyDescent="0.2">
      <c r="B45" s="245" t="s">
        <v>261</v>
      </c>
      <c r="C45" s="203" t="s">
        <v>19</v>
      </c>
      <c r="D45" s="216">
        <v>0</v>
      </c>
      <c r="E45" s="217"/>
      <c r="F45" s="217"/>
      <c r="G45" s="217"/>
      <c r="H45" s="217"/>
      <c r="I45" s="216"/>
      <c r="J45" s="216">
        <v>0</v>
      </c>
      <c r="K45" s="217"/>
      <c r="L45" s="217"/>
      <c r="M45" s="217"/>
      <c r="N45" s="217"/>
      <c r="O45" s="216"/>
      <c r="P45" s="216">
        <v>49525</v>
      </c>
      <c r="Q45" s="217">
        <v>49525.07</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246</v>
      </c>
      <c r="AU45" s="220">
        <v>5225489</v>
      </c>
      <c r="AV45" s="220">
        <v>0</v>
      </c>
      <c r="AW45" s="297"/>
    </row>
    <row r="46" spans="1:49" x14ac:dyDescent="0.2">
      <c r="B46" s="245" t="s">
        <v>262</v>
      </c>
      <c r="C46" s="203" t="s">
        <v>20</v>
      </c>
      <c r="D46" s="216">
        <v>0</v>
      </c>
      <c r="E46" s="217"/>
      <c r="F46" s="217"/>
      <c r="G46" s="217"/>
      <c r="H46" s="217"/>
      <c r="I46" s="216"/>
      <c r="J46" s="216">
        <v>0</v>
      </c>
      <c r="K46" s="217"/>
      <c r="L46" s="217"/>
      <c r="M46" s="217"/>
      <c r="N46" s="217"/>
      <c r="O46" s="216"/>
      <c r="P46" s="216">
        <v>14880</v>
      </c>
      <c r="Q46" s="217">
        <v>14879.55</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17</v>
      </c>
      <c r="AU46" s="220">
        <v>4908589</v>
      </c>
      <c r="AV46" s="220">
        <v>0</v>
      </c>
      <c r="AW46" s="297"/>
    </row>
    <row r="47" spans="1:49" x14ac:dyDescent="0.2">
      <c r="B47" s="245" t="s">
        <v>263</v>
      </c>
      <c r="C47" s="203" t="s">
        <v>21</v>
      </c>
      <c r="D47" s="216">
        <v>0</v>
      </c>
      <c r="E47" s="217"/>
      <c r="F47" s="217"/>
      <c r="G47" s="217"/>
      <c r="H47" s="217"/>
      <c r="I47" s="216"/>
      <c r="J47" s="216">
        <v>0</v>
      </c>
      <c r="K47" s="217"/>
      <c r="L47" s="217"/>
      <c r="M47" s="217"/>
      <c r="N47" s="217"/>
      <c r="O47" s="216"/>
      <c r="P47" s="216">
        <v>3135</v>
      </c>
      <c r="Q47" s="217">
        <v>3135.46</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1329</v>
      </c>
      <c r="AU47" s="220">
        <v>4997361</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v>-3623.1</v>
      </c>
      <c r="Q49" s="217">
        <v>-3623.1</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1546.31</v>
      </c>
      <c r="AU49" s="220">
        <v>84086.15</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v>26164.48</v>
      </c>
      <c r="AV50" s="220"/>
      <c r="AW50" s="297"/>
    </row>
    <row r="51" spans="2:49" x14ac:dyDescent="0.2">
      <c r="B51" s="239" t="s">
        <v>266</v>
      </c>
      <c r="C51" s="203"/>
      <c r="D51" s="216">
        <v>0</v>
      </c>
      <c r="E51" s="217"/>
      <c r="F51" s="217"/>
      <c r="G51" s="217"/>
      <c r="H51" s="217"/>
      <c r="I51" s="216"/>
      <c r="J51" s="216">
        <v>0</v>
      </c>
      <c r="K51" s="217">
        <v>0</v>
      </c>
      <c r="L51" s="217"/>
      <c r="M51" s="217"/>
      <c r="N51" s="217"/>
      <c r="O51" s="216"/>
      <c r="P51" s="216">
        <v>272381</v>
      </c>
      <c r="Q51" s="217">
        <v>272380.98</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1131</v>
      </c>
      <c r="AU51" s="220">
        <v>28128412</v>
      </c>
      <c r="AV51" s="220">
        <v>0</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c r="F56" s="229"/>
      <c r="G56" s="229"/>
      <c r="H56" s="229"/>
      <c r="I56" s="228"/>
      <c r="J56" s="228">
        <v>0</v>
      </c>
      <c r="K56" s="229"/>
      <c r="L56" s="229"/>
      <c r="M56" s="229"/>
      <c r="N56" s="229"/>
      <c r="O56" s="228"/>
      <c r="P56" s="228">
        <v>478</v>
      </c>
      <c r="Q56" s="229">
        <v>478</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11</v>
      </c>
      <c r="AU56" s="230">
        <v>68279</v>
      </c>
      <c r="AV56" s="230">
        <v>0</v>
      </c>
      <c r="AW56" s="288"/>
    </row>
    <row r="57" spans="2:49" x14ac:dyDescent="0.2">
      <c r="B57" s="245" t="s">
        <v>272</v>
      </c>
      <c r="C57" s="203" t="s">
        <v>25</v>
      </c>
      <c r="D57" s="231">
        <v>0</v>
      </c>
      <c r="E57" s="232"/>
      <c r="F57" s="232"/>
      <c r="G57" s="232"/>
      <c r="H57" s="232"/>
      <c r="I57" s="231"/>
      <c r="J57" s="231">
        <v>0</v>
      </c>
      <c r="K57" s="232"/>
      <c r="L57" s="232"/>
      <c r="M57" s="232"/>
      <c r="N57" s="232"/>
      <c r="O57" s="231"/>
      <c r="P57" s="231">
        <v>980</v>
      </c>
      <c r="Q57" s="232">
        <v>980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11</v>
      </c>
      <c r="AU57" s="233">
        <v>68279</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1</v>
      </c>
      <c r="Q58" s="232">
        <v>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v>138</v>
      </c>
      <c r="AV58" s="233">
        <v>0</v>
      </c>
      <c r="AW58" s="289"/>
    </row>
    <row r="59" spans="2:49" x14ac:dyDescent="0.2">
      <c r="B59" s="245" t="s">
        <v>274</v>
      </c>
      <c r="C59" s="203" t="s">
        <v>27</v>
      </c>
      <c r="D59" s="231">
        <v>0</v>
      </c>
      <c r="E59" s="232"/>
      <c r="F59" s="232"/>
      <c r="G59" s="232"/>
      <c r="H59" s="232"/>
      <c r="I59" s="231"/>
      <c r="J59" s="231">
        <v>0</v>
      </c>
      <c r="K59" s="232"/>
      <c r="L59" s="232"/>
      <c r="M59" s="232"/>
      <c r="N59" s="232"/>
      <c r="O59" s="231"/>
      <c r="P59" s="231">
        <v>11882</v>
      </c>
      <c r="Q59" s="232">
        <v>11819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111</v>
      </c>
      <c r="AU59" s="233">
        <v>793919</v>
      </c>
      <c r="AV59" s="233">
        <v>0</v>
      </c>
      <c r="AW59" s="289"/>
    </row>
    <row r="60" spans="2:49" x14ac:dyDescent="0.2">
      <c r="B60" s="245" t="s">
        <v>275</v>
      </c>
      <c r="C60" s="203"/>
      <c r="D60" s="234">
        <f t="shared" ref="D60:AC60" si="0">D$59/12</f>
        <v>0</v>
      </c>
      <c r="E60" s="235">
        <f t="shared" si="0"/>
        <v>0</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990.16666666666663</v>
      </c>
      <c r="Q60" s="235">
        <f t="shared" si="0"/>
        <v>984.91666666666663</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f t="shared" ref="AN60:AV60" si="1">AN$59/12</f>
        <v>0</v>
      </c>
      <c r="AO60" s="235">
        <f t="shared" si="1"/>
        <v>0</v>
      </c>
      <c r="AP60" s="235">
        <f t="shared" si="1"/>
        <v>0</v>
      </c>
      <c r="AQ60" s="235">
        <f t="shared" si="1"/>
        <v>0</v>
      </c>
      <c r="AR60" s="235">
        <f t="shared" si="1"/>
        <v>0</v>
      </c>
      <c r="AS60" s="234">
        <f t="shared" si="1"/>
        <v>0</v>
      </c>
      <c r="AT60" s="236">
        <f t="shared" si="1"/>
        <v>9.25</v>
      </c>
      <c r="AU60" s="236">
        <f t="shared" si="1"/>
        <v>66159.916666666672</v>
      </c>
      <c r="AV60" s="236">
        <f t="shared" si="1"/>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c r="F5" s="326"/>
      <c r="G5" s="328"/>
      <c r="H5" s="328"/>
      <c r="I5" s="325"/>
      <c r="J5" s="325">
        <v>0</v>
      </c>
      <c r="K5" s="326">
        <v>0</v>
      </c>
      <c r="L5" s="326"/>
      <c r="M5" s="326"/>
      <c r="N5" s="326"/>
      <c r="O5" s="325"/>
      <c r="P5" s="325">
        <v>6827734</v>
      </c>
      <c r="Q5" s="326">
        <v>6830192.4800000004</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15785</v>
      </c>
      <c r="AU5" s="327">
        <v>693917822</v>
      </c>
      <c r="AV5" s="369"/>
      <c r="AW5" s="373"/>
    </row>
    <row r="6" spans="2:49" x14ac:dyDescent="0.2">
      <c r="B6" s="343" t="s">
        <v>278</v>
      </c>
      <c r="C6" s="331" t="s">
        <v>8</v>
      </c>
      <c r="D6" s="318">
        <v>0</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186209</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-4196411</v>
      </c>
      <c r="AV9" s="368"/>
      <c r="AW9" s="374"/>
    </row>
    <row r="10" spans="2:49" ht="25.5" x14ac:dyDescent="0.2">
      <c r="B10" s="345" t="s">
        <v>83</v>
      </c>
      <c r="C10" s="331"/>
      <c r="D10" s="365"/>
      <c r="E10" s="319"/>
      <c r="F10" s="319"/>
      <c r="G10" s="319"/>
      <c r="H10" s="319"/>
      <c r="I10" s="318"/>
      <c r="J10" s="365"/>
      <c r="K10" s="319">
        <v>0</v>
      </c>
      <c r="L10" s="319"/>
      <c r="M10" s="319"/>
      <c r="N10" s="319"/>
      <c r="O10" s="318"/>
      <c r="P10" s="365"/>
      <c r="Q10" s="319">
        <v>186209</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0</v>
      </c>
      <c r="K11" s="319"/>
      <c r="L11" s="319"/>
      <c r="M11" s="319"/>
      <c r="N11" s="319"/>
      <c r="O11" s="318"/>
      <c r="P11" s="318">
        <v>162539</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173453</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128704</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-4197245</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0</v>
      </c>
      <c r="K23" s="362"/>
      <c r="L23" s="362"/>
      <c r="M23" s="362"/>
      <c r="N23" s="362"/>
      <c r="O23" s="364"/>
      <c r="P23" s="318">
        <v>7057226</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39713</v>
      </c>
      <c r="AU23" s="321">
        <v>578301459</v>
      </c>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v>7338844.5999999996</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889831</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1513</v>
      </c>
      <c r="AU26" s="321">
        <v>59586160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v>164065.63</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655755</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18600</v>
      </c>
      <c r="AU28" s="321">
        <v>23566676</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186209</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-4196411</v>
      </c>
      <c r="AV38" s="368"/>
      <c r="AW38" s="374"/>
    </row>
    <row r="39" spans="2:49" ht="28.15" customHeight="1" x14ac:dyDescent="0.2">
      <c r="B39" s="345" t="s">
        <v>86</v>
      </c>
      <c r="C39" s="331"/>
      <c r="D39" s="365"/>
      <c r="E39" s="319"/>
      <c r="F39" s="319"/>
      <c r="G39" s="319"/>
      <c r="H39" s="319"/>
      <c r="I39" s="318"/>
      <c r="J39" s="365"/>
      <c r="K39" s="319">
        <v>0</v>
      </c>
      <c r="L39" s="319"/>
      <c r="M39" s="319"/>
      <c r="N39" s="319"/>
      <c r="O39" s="318"/>
      <c r="P39" s="365"/>
      <c r="Q39" s="319">
        <v>186209</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162539</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173453</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128704</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-4197245</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244378</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0</v>
      </c>
      <c r="K49" s="319"/>
      <c r="L49" s="319"/>
      <c r="M49" s="319"/>
      <c r="N49" s="319"/>
      <c r="O49" s="318"/>
      <c r="P49" s="318">
        <v>44858</v>
      </c>
      <c r="Q49" s="319">
        <v>158196.57999999999</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7870148</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27353</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1832714</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0</v>
      </c>
      <c r="E54" s="323">
        <f>E24+E27+E31+E35-E36+E39+E42+E45+E46-E49+E51+E52+E53</f>
        <v>0</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7493841</v>
      </c>
      <c r="Q54" s="323">
        <f>Q24+Q27+Q31+Q35-Q36+Q39+Q42+Q45+Q46-Q49+Q51+Q52+Q53</f>
        <v>7530922.6499999994</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f>AN23+AN26-AN28+AN30-AN32+AN34-AN36+AN38+AN41-AN43+AN45+AN46-AN47-AN49+AN50+AN51+AN52+AN53</f>
        <v>0</v>
      </c>
      <c r="AO54" s="323">
        <f>AO24+AO27+AO31+AO35-AO36+AO39+AO42+AO45+AO46-AO49+AO51+AO52+AO53</f>
        <v>0</v>
      </c>
      <c r="AP54" s="323">
        <f>AP24+AP27+AP31+AP35-AP36+AP39+AP42+AP45+AP46-AP49+AP51+AP52+AP53</f>
        <v>0</v>
      </c>
      <c r="AQ54" s="323">
        <f>AQ24+AQ27+AQ31+AQ35-AQ36+AQ39+AQ42+AQ45+AQ46-AQ49+AQ51+AQ52+AQ53</f>
        <v>0</v>
      </c>
      <c r="AR54" s="323">
        <f>AR24+AR27+AR31+AR35-AR36+AR39+AR42+AR45+AR46-AR49+AR51+AR52+AR53</f>
        <v>0</v>
      </c>
      <c r="AS54" s="322">
        <f>AS23+AS26-AS28+AS30-AS32+AS34-AS36+AS38+AS41-AS43+AS45+AS46-AS47-AS49+AS50+AS51+AS52+AS53</f>
        <v>0</v>
      </c>
      <c r="AT54" s="324">
        <f>AT23+AT26-AT28+AT30-AT32+AT34-AT36+AT38+AT41-AT43+AT45+AT46-AT47-AT49+AT50+AT51+AT52+AT53</f>
        <v>22626</v>
      </c>
      <c r="AU54" s="324">
        <f>AU23+AU26-AU28+AU30-AU32+AU34-AU36+AU38+AU41-AU43+AU45+AU46-AU47-AU49+AU50+AU51+AU52+AU53</f>
        <v>608702174</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7622.99</v>
      </c>
      <c r="Q55" s="323">
        <f t="shared" si="0"/>
        <v>7622.99</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f t="shared" ref="AN55:AU55" si="1">MIN(MAX(0,AN56),MAX(0,AN57))</f>
        <v>0</v>
      </c>
      <c r="AO55" s="323">
        <f t="shared" si="1"/>
        <v>0</v>
      </c>
      <c r="AP55" s="323">
        <f t="shared" si="1"/>
        <v>0</v>
      </c>
      <c r="AQ55" s="323">
        <f t="shared" si="1"/>
        <v>0</v>
      </c>
      <c r="AR55" s="323">
        <f t="shared" si="1"/>
        <v>0</v>
      </c>
      <c r="AS55" s="322">
        <f t="shared" si="1"/>
        <v>0</v>
      </c>
      <c r="AT55" s="324">
        <f t="shared" si="1"/>
        <v>0</v>
      </c>
      <c r="AU55" s="324">
        <f t="shared" si="1"/>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v>7622.99</v>
      </c>
      <c r="Q56" s="319">
        <v>7622.99</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20945</v>
      </c>
      <c r="Q57" s="319">
        <v>20945.16</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2318964</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0</v>
      </c>
      <c r="E5" s="454"/>
      <c r="F5" s="454"/>
      <c r="G5" s="448"/>
      <c r="H5" s="402"/>
      <c r="I5" s="403">
        <v>0</v>
      </c>
      <c r="J5" s="454"/>
      <c r="K5" s="454"/>
      <c r="L5" s="448"/>
      <c r="M5" s="402">
        <v>6951376.1100000003</v>
      </c>
      <c r="N5" s="403">
        <v>7011609.8300000001</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v>6920029.75</v>
      </c>
      <c r="N6" s="398">
        <v>6837339.25</v>
      </c>
      <c r="O6" s="400">
        <f>SUM('Pt 1 Summary of Data'!Q$12,'Pt 1 Summary of Data'!Q$22)+SUM('Pt 1 Summary of Data'!S$12,'Pt 1 Summary of Data'!S$22)-SUM('Pt 1 Summary of Data'!T$12,'Pt 1 Summary of Data'!T$22)</f>
        <v>7538545.6399999997</v>
      </c>
      <c r="P6" s="400">
        <f>SUM(M6:O6)</f>
        <v>21295914.640000001</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f>SUM('Pt 1 Summary of Data'!AO$12,'Pt 1 Summary of Data'!AO$22)+SUM('Pt 1 Summary of Data'!AQ$12,'Pt 1 Summary of Data'!AQ$22)-SUM('Pt 1 Summary of Data'!AR$12,'Pt 1 Summary of Data'!AR$22)</f>
        <v>0</v>
      </c>
      <c r="AN6" s="430">
        <f>SUM(AK6:AM6)</f>
        <v>0</v>
      </c>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v>77279.759999999995</v>
      </c>
      <c r="N7" s="398">
        <v>93538.4</v>
      </c>
      <c r="O7" s="400">
        <f>SUM('Pt 1 Summary of Data'!Q$37:Q$41)+SUM('Pt 1 Summary of Data'!S$37:S$41)-SUM('Pt 1 Summary of Data'!T$37:T$41)+MAX(0,MIN('Pt 1 Summary of Data'!Q$42+'Pt 1 Summary of Data'!S$42-'Pt 1 Summary of Data'!T$42,0.3%*('Pt 1 Summary of Data'!Q$5+'Pt 1 Summary of Data'!S$5-'Pt 1 Summary of Data'!T$5)))</f>
        <v>62459.61</v>
      </c>
      <c r="P7" s="400">
        <f>SUM(M7:O7)</f>
        <v>233277.76999999996</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f>SUM('Pt 1 Summary of Data'!AO$37:AO$41)+SUM('Pt 1 Summary of Data'!AQ$37:AQ$41)-SUM('Pt 1 Summary of Data'!AR$37:AR$41)+MAX(0,MIN('Pt 1 Summary of Data'!AO$42+'Pt 1 Summary of Data'!AQ$42-'Pt 1 Summary of Data'!AR$42,0.3%*('Pt 1 Summary of Data'!AO$5+'Pt 1 Summary of Data'!AQ$5-'Pt 1 Summary of Data'!AR$5)))</f>
        <v>0</v>
      </c>
      <c r="AN7" s="430">
        <f>SUM(AK7:AM7)</f>
        <v>0</v>
      </c>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 - SUM(D$8:D$11)+IF(AND(OR('Company Information'!$C$12="District of Columbia",'Company Information'!$C$12="Massachusetts",'Company Information'!$C$12="Vermont"),SUM($C$6:$F$11,$C$15:$F$16,$C$38:$D$38)&lt;&gt;0),SUM(I$6:I$7) - SUM(I$10:I$11),0)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6997309.5099999998</v>
      </c>
      <c r="N12" s="400">
        <f>SUM(N$6:N$7)</f>
        <v>6930877.6500000004</v>
      </c>
      <c r="O12" s="400">
        <f>SUM(O$6:O$7)</f>
        <v>7601005.25</v>
      </c>
      <c r="P12" s="400">
        <f>SUM(M$12:O$12)+M$17*MAX(0,O$50-M$50)+N$17*MAX(0,O$50-N$50)</f>
        <v>21529192.41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f>1.15*SUM(AK$6:AK$7)</f>
        <v>0</v>
      </c>
      <c r="AL13" s="400">
        <f>SUM(AL$6:AL$7)</f>
        <v>0</v>
      </c>
      <c r="AM13" s="400">
        <f>SUM(AM$6:AM$7)</f>
        <v>0</v>
      </c>
      <c r="AN13" s="430">
        <f>SUM(AN$6:AN$7)</f>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0</v>
      </c>
      <c r="E15" s="395">
        <f>SUM('Pt 1 Summary of Data'!E$5:E$7)+SUM('Pt 1 Summary of Data'!G$5:G$7)-SUM('Pt 1 Summary of Data'!H$5:H$7)-SUM(E$9:E$11)</f>
        <v>0</v>
      </c>
      <c r="F15" s="395">
        <f>SUM(C15:E15)</f>
        <v>0</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v>6972726.9400000004</v>
      </c>
      <c r="N15" s="403">
        <v>7396731.5999999996</v>
      </c>
      <c r="O15" s="395">
        <f>SUM('Pt 1 Summary of Data'!Q$5:Q$7)+SUM('Pt 1 Summary of Data'!S$5:S$7)-SUM('Pt 1 Summary of Data'!T$5:T$7)+N$56</f>
        <v>6829763.4800000004</v>
      </c>
      <c r="P15" s="395">
        <f>SUM(M15:O15)</f>
        <v>21199222.02</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f>SUM('Pt 1 Summary of Data'!AO$5:AO$7)+SUM('Pt 1 Summary of Data'!AQ$5:AQ$7)-SUM('Pt 1 Summary of Data'!AR$5:AR$7)+AL$56</f>
        <v>0</v>
      </c>
      <c r="AN15" s="431">
        <f>SUM(AK15:AM15)</f>
        <v>0</v>
      </c>
    </row>
    <row r="16" spans="1:40" x14ac:dyDescent="0.2">
      <c r="B16" s="415" t="s">
        <v>311</v>
      </c>
      <c r="C16" s="397"/>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v>-830635.16</v>
      </c>
      <c r="N16" s="398">
        <v>283594.40000000002</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-174892.55999999997</v>
      </c>
      <c r="P16" s="400">
        <f>SUM(M16:O16)</f>
        <v>-721933.32</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f>SUM('Pt 1 Summary of Data'!AO$25:AO$28,'Pt 1 Summary of Data'!AO$30,'Pt 1 Summary of Data'!AO$34:AO$35)+SUM('Pt 1 Summary of Data'!AQ$25:AQ$28,'Pt 1 Summary of Data'!AQ$30,'Pt 1 Summary of Data'!AQ$34:AQ$35)-SUM('Pt 1 Summary of Data'!AR$25:AR$28,'Pt 1 Summary of Data'!AR$30,'Pt 1 Summary of Data'!AR$34:AR$35)+IF('Company Information'!$C$15="No",IF(MAX('Pt 1 Summary of Data'!AO$31:AO$32)=0,MIN('Pt 1 Summary of Data'!AO$31:AO$32),MAX('Pt 1 Summary of Data'!AO$31:AO$32))+IF(MAX('Pt 1 Summary of Data'!AQ$31:AQ$32)=0,MIN('Pt 1 Summary of Data'!AQ$31:AQ$32),MAX('Pt 1 Summary of Data'!AQ$31:AQ$32))-IF(MAX('Pt 1 Summary of Data'!AR$31:AR$32)=0,MIN('Pt 1 Summary of Data'!AR$31:AR$32),MAX('Pt 1 Summary of Data'!AR$31:AR$32)),SUM('Pt 1 Summary of Data'!AO$31:AO$32)+SUM('Pt 1 Summary of Data'!AQ$31:AQ$32)-SUM('Pt 1 Summary of Data'!AR$31:AR$32))+AL$57</f>
        <v>0</v>
      </c>
      <c r="AN16" s="430">
        <f>SUM(AK16:AM16)</f>
        <v>0</v>
      </c>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7803362.1000000006</v>
      </c>
      <c r="N17" s="400">
        <f>N$15-N$16</f>
        <v>7113137.1999999993</v>
      </c>
      <c r="O17" s="400">
        <f>O$15-O$16</f>
        <v>7004656.04</v>
      </c>
      <c r="P17" s="400">
        <f>P$15-P$16</f>
        <v>21921155.34</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f>AK$15-AK$16</f>
        <v>0</v>
      </c>
      <c r="AL17" s="400">
        <f>AL$15-AL$16</f>
        <v>0</v>
      </c>
      <c r="AM17" s="400">
        <f>AM$15-AM$16</f>
        <v>0</v>
      </c>
      <c r="AN17" s="430">
        <f>AN$15-AN$16</f>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v>1179</v>
      </c>
      <c r="N38" s="405">
        <v>1077.75</v>
      </c>
      <c r="O38" s="432">
        <f>('Pt 1 Summary of Data'!Q$59+'Pt 1 Summary of Data'!S$59-'Pt 1 Summary of Data'!T$59)/12</f>
        <v>984.91666666666663</v>
      </c>
      <c r="P38" s="432">
        <f>SUM(M$38:O$38)</f>
        <v>3241.6666666666665</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f>('Pt 1 Summary of Data'!AO$59+'Pt 1 Summary of Data'!AQ$59-'Pt 1 Summary of Data'!AR$59)/12</f>
        <v>0</v>
      </c>
      <c r="AN38" s="433">
        <f>SUM(AK38:AM38)</f>
        <v>0</v>
      </c>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4.7550000000000002E-2</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f ca="1">IF(OR(AN$38&lt;1000,AN$38&gt;=75000),0,VLOOKUP(AN$38,'Reference Tables'!$A$4:$B$11,2)+((AN$38-VLOOKUP(AN$38,'Reference Tables'!$A$4:$B$11,1))*(OFFSET(INDEX('Reference Tables'!$A$4:$A$11,MATCH(AN$38,'Reference Tables'!$A$4:$A$11)),1,1)-VLOOKUP(AN$38,'Reference Tables'!$A$4:$B$11,2))/(OFFSET(INDEX('Reference Tables'!$A$4:$A$11,MATCH(AN$38,'Reference Tables'!$A$4:$A$11)),1,0)-VLOOKUP(AN$38,'Reference Tables'!$A$4:$B$11,1))))</f>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f ca="1">IF(AN$40&lt;2500,1,(MIN(VLOOKUP(AN$40,'Reference Tables'!$A$17:$B$20,2)+((AN$40-VLOOKUP(AN$40,'Reference Tables'!$A$17:$B$20,1))*(OFFSET(INDEX('Reference Tables'!$A$17:$A$20,MATCH(AN$40,'Reference Tables'!$A$17:$A$20)),1,1)-VLOOKUP(AN$40,'Reference Tables'!$A$17:$B$20,2))/(OFFSET(INDEX('Reference Tables'!$A$17:$A$20,MATCH(AN$40,'Reference Tables'!$A$17:$A$20)),1,0)-VLOOKUP(AN$40,'Reference Tables'!$A$17:$B$20,1))),1.736)))</f>
        <v>1</v>
      </c>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 ca="1">IF(OR(P$38&lt;1000,P$38&gt;=75000),0,P$39*P$41)</f>
        <v>4.7550000000000002E-2</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f>IF(OR(AN$38&lt;1000,AN$38&gt;=75000),0,AN$39*AN$41)</f>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f>IF(OR(M$38&lt;1000,M$17&lt;=0),"",M$12/M$17)</f>
        <v>0.89670444871448418</v>
      </c>
      <c r="N45" s="436">
        <f>IF(OR(N$38&lt;1000,N$17&lt;=0),"",N$12/N$17)</f>
        <v>0.97437705123978224</v>
      </c>
      <c r="O45" s="436" t="str">
        <f>IF(OR(O$38&lt;1000,O$17&lt;=0),"",O$12/O$17)</f>
        <v/>
      </c>
      <c r="P45" s="436">
        <f>IF(OR(P$38&lt;1000,P$17&lt;=0),"",P$12/P$17)</f>
        <v>0.98211942190452084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t="str">
        <f>IF(OR(AK$38&lt;1000,AK$17&lt;=0),"",AK$13/AK$17)</f>
        <v/>
      </c>
      <c r="AL46" s="436" t="str">
        <f>IF(OR(AL$38&lt;1000,AL$17&lt;=0),"",AL$13/AL$17)</f>
        <v/>
      </c>
      <c r="AM46" s="436" t="str">
        <f>IF(OR(AM$38&lt;1000,AM$17&lt;=0),"",AM$13/AM$17)</f>
        <v/>
      </c>
      <c r="AN46" s="437" t="str">
        <f>IF(OR(AN$38&lt;1000,AN$17&lt;=0),"",AN$13/AN$17)</f>
        <v/>
      </c>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f ca="1">IF(P$45="","",P$42)</f>
        <v>4.7550000000000002E-2</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t="str">
        <f>IF(AN$46="","",AN$42)</f>
        <v/>
      </c>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f ca="1">IF(P$45="","",ROUND(P$45+MAX(0,P$47),3))</f>
        <v>1.03</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t="str">
        <f>IF(AN$46="","",ROUND(AN$46+MAX(0,AN$47),3))</f>
        <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3.2</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f ca="1">P$48</f>
        <v>1.03</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t="str">
        <f>AN$48</f>
        <v/>
      </c>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f>IF(P$38&lt;1000,"",MAX(0,O$15-O$16))</f>
        <v>7004656.04</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t="str">
        <f>IF(AN$38&lt;1000,"",MAX(0,AM$15-AM$16))</f>
        <v/>
      </c>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 ca="1">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f>IF(OR(AN$38&lt;1000,AN$17&lt;=0),0,MAX(0,AN$50-AN$51)*AN$52)</f>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v>2964.35</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v>-352.84</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15" sqref="E1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f>'Pt 1 Summary of Data'!$K$56+'Pt 1 Summary of Data'!$M$56-'Pt 1 Summary of Data'!$N$56</f>
        <v>0</v>
      </c>
      <c r="E4" s="104">
        <f>'Pt 1 Summary of Data'!$Q$56+'Pt 1 Summary of Data'!$S$56-'Pt 1 Summary of Data'!$T$56</f>
        <v>478</v>
      </c>
      <c r="F4" s="104">
        <f>'Pt 1 Summary of Data'!$V$56</f>
        <v>0</v>
      </c>
      <c r="G4" s="104">
        <f>'Pt 1 Summary of Data'!$Y$56</f>
        <v>0</v>
      </c>
      <c r="H4" s="104">
        <f>'Pt 1 Summary of Data'!$AB$56</f>
        <v>0</v>
      </c>
      <c r="I4" s="185"/>
      <c r="J4" s="185"/>
      <c r="K4" s="191">
        <f>'Pt 1 Summary of Data'!$AO$56+'Pt 1 Summary of Data'!$AQ$56-'Pt 1 Summary of Data'!$AR$56</f>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 ca="1">'Pt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xWindow="1412" yWindow="472"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t="s">
        <v>506</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507</v>
      </c>
      <c r="E27" s="7"/>
    </row>
    <row r="28" spans="2:5" ht="35.25" customHeight="1" x14ac:dyDescent="0.2">
      <c r="B28" s="134"/>
      <c r="C28" s="113"/>
      <c r="D28" s="137" t="s">
        <v>508</v>
      </c>
      <c r="E28" s="7"/>
    </row>
    <row r="29" spans="2:5" ht="35.25" customHeight="1" x14ac:dyDescent="0.2">
      <c r="B29" s="134"/>
      <c r="C29" s="113"/>
      <c r="D29" s="137" t="s">
        <v>509</v>
      </c>
      <c r="E29" s="7"/>
    </row>
    <row r="30" spans="2:5" ht="35.25" customHeight="1" x14ac:dyDescent="0.2">
      <c r="B30" s="134"/>
      <c r="C30" s="113"/>
      <c r="D30" s="137" t="s">
        <v>510</v>
      </c>
      <c r="E30" s="7"/>
    </row>
    <row r="31" spans="2:5" ht="35.25" customHeight="1" x14ac:dyDescent="0.2">
      <c r="B31" s="134"/>
      <c r="C31" s="113"/>
      <c r="D31" s="137" t="s">
        <v>511</v>
      </c>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512</v>
      </c>
      <c r="E34" s="7"/>
    </row>
    <row r="35" spans="2:5" ht="35.25" customHeight="1" x14ac:dyDescent="0.2">
      <c r="B35" s="134"/>
      <c r="C35" s="113"/>
      <c r="D35" s="137" t="s">
        <v>513</v>
      </c>
      <c r="E35" s="7"/>
    </row>
    <row r="36" spans="2:5" ht="35.25" customHeight="1" x14ac:dyDescent="0.2">
      <c r="B36" s="134"/>
      <c r="C36" s="113"/>
      <c r="D36" s="137" t="s">
        <v>514</v>
      </c>
      <c r="E36" s="7"/>
    </row>
    <row r="37" spans="2:5" ht="35.25" customHeight="1" x14ac:dyDescent="0.2">
      <c r="B37" s="134"/>
      <c r="C37" s="113"/>
      <c r="D37" s="137" t="s">
        <v>515</v>
      </c>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516</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517</v>
      </c>
      <c r="E48" s="7"/>
    </row>
    <row r="49" spans="2:5" ht="35.25" customHeight="1" x14ac:dyDescent="0.2">
      <c r="B49" s="134"/>
      <c r="C49" s="113"/>
      <c r="D49" s="137" t="s">
        <v>518</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t="s">
        <v>519</v>
      </c>
      <c r="E56" s="7"/>
    </row>
    <row r="57" spans="2:5" ht="35.25" customHeight="1" x14ac:dyDescent="0.2">
      <c r="B57" s="134"/>
      <c r="C57" s="115"/>
      <c r="D57" s="137" t="s">
        <v>520</v>
      </c>
      <c r="E57" s="7"/>
    </row>
    <row r="58" spans="2:5" ht="35.25" customHeight="1" x14ac:dyDescent="0.2">
      <c r="B58" s="134"/>
      <c r="C58" s="115"/>
      <c r="D58" s="137" t="s">
        <v>521</v>
      </c>
      <c r="E58" s="7"/>
    </row>
    <row r="59" spans="2:5" ht="35.25" customHeight="1" x14ac:dyDescent="0.2">
      <c r="B59" s="134"/>
      <c r="C59" s="115"/>
      <c r="D59" s="137" t="s">
        <v>522</v>
      </c>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t="s">
        <v>519</v>
      </c>
      <c r="E67" s="7"/>
    </row>
    <row r="68" spans="2:5" ht="35.25" customHeight="1" x14ac:dyDescent="0.2">
      <c r="B68" s="134"/>
      <c r="C68" s="115"/>
      <c r="D68" s="137" t="s">
        <v>520</v>
      </c>
      <c r="E68" s="7"/>
    </row>
    <row r="69" spans="2:5" ht="35.25" customHeight="1" x14ac:dyDescent="0.2">
      <c r="B69" s="134"/>
      <c r="C69" s="115"/>
      <c r="D69" s="137" t="s">
        <v>521</v>
      </c>
      <c r="E69" s="7"/>
    </row>
    <row r="70" spans="2:5" ht="35.25" customHeight="1" x14ac:dyDescent="0.2">
      <c r="B70" s="134"/>
      <c r="C70" s="115"/>
      <c r="D70" s="137" t="s">
        <v>522</v>
      </c>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t="s">
        <v>519</v>
      </c>
      <c r="E78" s="7"/>
    </row>
    <row r="79" spans="2:5" ht="35.25" customHeight="1" x14ac:dyDescent="0.2">
      <c r="B79" s="134"/>
      <c r="C79" s="115"/>
      <c r="D79" s="137" t="s">
        <v>520</v>
      </c>
      <c r="E79" s="7"/>
    </row>
    <row r="80" spans="2:5" ht="35.25" customHeight="1" x14ac:dyDescent="0.2">
      <c r="B80" s="134"/>
      <c r="C80" s="115"/>
      <c r="D80" s="137" t="s">
        <v>521</v>
      </c>
      <c r="E80" s="7"/>
    </row>
    <row r="81" spans="2:5" ht="35.25" customHeight="1" x14ac:dyDescent="0.2">
      <c r="B81" s="134"/>
      <c r="C81" s="115"/>
      <c r="D81" s="137" t="s">
        <v>522</v>
      </c>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t="s">
        <v>519</v>
      </c>
      <c r="E89" s="7"/>
    </row>
    <row r="90" spans="2:5" ht="35.25" customHeight="1" x14ac:dyDescent="0.2">
      <c r="B90" s="134"/>
      <c r="C90" s="115"/>
      <c r="D90" s="137" t="s">
        <v>520</v>
      </c>
      <c r="E90" s="7"/>
    </row>
    <row r="91" spans="2:5" ht="35.25" customHeight="1" x14ac:dyDescent="0.2">
      <c r="B91" s="134"/>
      <c r="C91" s="115"/>
      <c r="D91" s="137" t="s">
        <v>521</v>
      </c>
      <c r="E91" s="7"/>
    </row>
    <row r="92" spans="2:5" ht="35.25" customHeight="1" x14ac:dyDescent="0.2">
      <c r="B92" s="134"/>
      <c r="C92" s="115"/>
      <c r="D92" s="137" t="s">
        <v>522</v>
      </c>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t="s">
        <v>523</v>
      </c>
      <c r="E100" s="7"/>
    </row>
    <row r="101" spans="2:5" ht="35.25" customHeight="1" x14ac:dyDescent="0.2">
      <c r="B101" s="134"/>
      <c r="C101" s="115"/>
      <c r="D101" s="137" t="s">
        <v>524</v>
      </c>
      <c r="E101" s="7"/>
    </row>
    <row r="102" spans="2:5" ht="35.25" customHeight="1" x14ac:dyDescent="0.2">
      <c r="B102" s="134"/>
      <c r="C102" s="115"/>
      <c r="D102" s="137" t="s">
        <v>525</v>
      </c>
      <c r="E102" s="7"/>
    </row>
    <row r="103" spans="2:5" ht="35.25" customHeight="1" x14ac:dyDescent="0.2">
      <c r="B103" s="134"/>
      <c r="C103" s="115"/>
      <c r="D103" s="137" t="s">
        <v>526</v>
      </c>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519</v>
      </c>
      <c r="E111" s="27"/>
    </row>
    <row r="112" spans="2:5" s="5" customFormat="1" ht="35.25" customHeight="1" x14ac:dyDescent="0.2">
      <c r="B112" s="134"/>
      <c r="C112" s="115"/>
      <c r="D112" s="137" t="s">
        <v>520</v>
      </c>
      <c r="E112" s="27"/>
    </row>
    <row r="113" spans="2:5" s="5" customFormat="1" ht="35.25" customHeight="1" x14ac:dyDescent="0.2">
      <c r="B113" s="134"/>
      <c r="C113" s="115"/>
      <c r="D113" s="137" t="s">
        <v>521</v>
      </c>
      <c r="E113" s="27"/>
    </row>
    <row r="114" spans="2:5" s="5" customFormat="1" ht="35.25" customHeight="1" x14ac:dyDescent="0.2">
      <c r="B114" s="134"/>
      <c r="C114" s="115"/>
      <c r="D114" s="137" t="s">
        <v>522</v>
      </c>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519</v>
      </c>
      <c r="E123" s="7"/>
    </row>
    <row r="124" spans="2:5" s="5" customFormat="1" ht="35.25" customHeight="1" x14ac:dyDescent="0.2">
      <c r="B124" s="134"/>
      <c r="C124" s="113"/>
      <c r="D124" s="137" t="s">
        <v>520</v>
      </c>
      <c r="E124" s="27"/>
    </row>
    <row r="125" spans="2:5" s="5" customFormat="1" ht="35.25" customHeight="1" x14ac:dyDescent="0.2">
      <c r="B125" s="134"/>
      <c r="C125" s="113"/>
      <c r="D125" s="137" t="s">
        <v>521</v>
      </c>
      <c r="E125" s="27"/>
    </row>
    <row r="126" spans="2:5" s="5" customFormat="1" ht="35.25" customHeight="1" x14ac:dyDescent="0.2">
      <c r="B126" s="134"/>
      <c r="C126" s="113"/>
      <c r="D126" s="137" t="s">
        <v>522</v>
      </c>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519</v>
      </c>
      <c r="E134" s="27"/>
    </row>
    <row r="135" spans="2:5" s="5" customFormat="1" ht="35.25" customHeight="1" x14ac:dyDescent="0.2">
      <c r="B135" s="134"/>
      <c r="C135" s="113"/>
      <c r="D135" s="137" t="s">
        <v>520</v>
      </c>
      <c r="E135" s="27"/>
    </row>
    <row r="136" spans="2:5" s="5" customFormat="1" ht="35.25" customHeight="1" x14ac:dyDescent="0.2">
      <c r="B136" s="134"/>
      <c r="C136" s="113"/>
      <c r="D136" s="137" t="s">
        <v>521</v>
      </c>
      <c r="E136" s="27"/>
    </row>
    <row r="137" spans="2:5" s="5" customFormat="1" ht="35.25" customHeight="1" x14ac:dyDescent="0.2">
      <c r="B137" s="134"/>
      <c r="C137" s="113"/>
      <c r="D137" s="137" t="s">
        <v>522</v>
      </c>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520</v>
      </c>
      <c r="E145" s="27"/>
    </row>
    <row r="146" spans="2:5" s="5" customFormat="1" ht="35.25" customHeight="1" x14ac:dyDescent="0.2">
      <c r="B146" s="134"/>
      <c r="C146" s="113"/>
      <c r="D146" s="137" t="s">
        <v>521</v>
      </c>
      <c r="E146" s="27"/>
    </row>
    <row r="147" spans="2:5" s="5" customFormat="1" ht="35.25" customHeight="1" x14ac:dyDescent="0.2">
      <c r="B147" s="134"/>
      <c r="C147" s="113"/>
      <c r="D147" s="137" t="s">
        <v>522</v>
      </c>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527</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520</v>
      </c>
      <c r="E167" s="27"/>
    </row>
    <row r="168" spans="2:5" s="5" customFormat="1" ht="35.25" customHeight="1" x14ac:dyDescent="0.2">
      <c r="B168" s="134"/>
      <c r="C168" s="113"/>
      <c r="D168" s="137" t="s">
        <v>521</v>
      </c>
      <c r="E168" s="27"/>
    </row>
    <row r="169" spans="2:5" s="5" customFormat="1" ht="35.25" customHeight="1" x14ac:dyDescent="0.2">
      <c r="B169" s="134"/>
      <c r="C169" s="113"/>
      <c r="D169" s="137" t="s">
        <v>522</v>
      </c>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520</v>
      </c>
      <c r="E178" s="27"/>
    </row>
    <row r="179" spans="2:5" s="5" customFormat="1" ht="35.25" customHeight="1" x14ac:dyDescent="0.2">
      <c r="B179" s="134"/>
      <c r="C179" s="113"/>
      <c r="D179" s="137" t="s">
        <v>521</v>
      </c>
      <c r="E179" s="27"/>
    </row>
    <row r="180" spans="2:5" s="5" customFormat="1" ht="35.25" customHeight="1" x14ac:dyDescent="0.2">
      <c r="B180" s="134"/>
      <c r="C180" s="113"/>
      <c r="D180" s="137" t="s">
        <v>522</v>
      </c>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516</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519</v>
      </c>
      <c r="E200" s="27"/>
    </row>
    <row r="201" spans="2:5" s="5" customFormat="1" ht="35.25" customHeight="1" x14ac:dyDescent="0.2">
      <c r="B201" s="134"/>
      <c r="C201" s="113"/>
      <c r="D201" s="137" t="s">
        <v>520</v>
      </c>
      <c r="E201" s="27"/>
    </row>
    <row r="202" spans="2:5" s="5" customFormat="1" ht="35.25" customHeight="1" x14ac:dyDescent="0.2">
      <c r="B202" s="134"/>
      <c r="C202" s="113"/>
      <c r="D202" s="137" t="s">
        <v>521</v>
      </c>
      <c r="E202" s="27"/>
    </row>
    <row r="203" spans="2:5" s="5" customFormat="1" ht="35.25" customHeight="1" x14ac:dyDescent="0.2">
      <c r="B203" s="134"/>
      <c r="C203" s="113"/>
      <c r="D203" s="137" t="s">
        <v>522</v>
      </c>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Jackson</cp:lastModifiedBy>
  <cp:lastPrinted>2014-12-18T11:24:00Z</cp:lastPrinted>
  <dcterms:created xsi:type="dcterms:W3CDTF">2012-03-15T16:14:51Z</dcterms:created>
  <dcterms:modified xsi:type="dcterms:W3CDTF">2016-07-28T17:06:16Z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