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X39" i="10"/>
  <c r="AB38" i="10"/>
  <c r="AA38" i="10"/>
  <c r="X38" i="10"/>
  <c r="W38" i="10"/>
  <c r="T38" i="10"/>
  <c r="S38" i="10"/>
  <c r="P38" i="10"/>
  <c r="O38" i="10"/>
  <c r="L32" i="10"/>
  <c r="L27" i="10"/>
  <c r="L24" i="10"/>
  <c r="L23" i="10"/>
  <c r="L20" i="10"/>
  <c r="L19" i="10"/>
  <c r="L22" i="10" s="1"/>
  <c r="L30" i="10" s="1"/>
  <c r="L31" i="10" s="1"/>
  <c r="AB17" i="10"/>
  <c r="AA17" i="10"/>
  <c r="Z17" i="10"/>
  <c r="AB13" i="10" s="1"/>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T15" i="10"/>
  <c r="S15" i="10"/>
  <c r="P15" i="10"/>
  <c r="O15" i="10"/>
  <c r="L15" i="10"/>
  <c r="AA13" i="10"/>
  <c r="Z13" i="10"/>
  <c r="Y13" i="10"/>
  <c r="W13" i="10"/>
  <c r="V13" i="10"/>
  <c r="U13" i="10"/>
  <c r="S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Q22" i="4" s="1"/>
  <c r="P55" i="18"/>
  <c r="P22" i="4" s="1"/>
  <c r="O55" i="18"/>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Y54" i="18"/>
  <c r="Y12" i="4" s="1"/>
  <c r="X54" i="18"/>
  <c r="X12" i="4" s="1"/>
  <c r="W54" i="18"/>
  <c r="W12" i="4" s="1"/>
  <c r="V54" i="18"/>
  <c r="V12" i="4" s="1"/>
  <c r="U54" i="18"/>
  <c r="U12" i="4" s="1"/>
  <c r="T54" i="18"/>
  <c r="T12" i="4" s="1"/>
  <c r="S54" i="18"/>
  <c r="S12" i="4" s="1"/>
  <c r="R54" i="18"/>
  <c r="R12" i="4" s="1"/>
  <c r="Q54" i="18"/>
  <c r="P54" i="18"/>
  <c r="P12" i="4" s="1"/>
  <c r="O54" i="18"/>
  <c r="O12" i="4" s="1"/>
  <c r="N54" i="18"/>
  <c r="N12" i="4" s="1"/>
  <c r="M54" i="18"/>
  <c r="L54" i="18"/>
  <c r="L12" i="4" s="1"/>
  <c r="K54" i="18"/>
  <c r="K12" i="4" s="1"/>
  <c r="J54" i="18"/>
  <c r="J12" i="4" s="1"/>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O22" i="4"/>
  <c r="Z12" i="4"/>
  <c r="Q12" i="4"/>
  <c r="M12" i="4"/>
  <c r="G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J15" i="10" l="1"/>
  <c r="K15" i="10" s="1"/>
  <c r="F15" i="10"/>
  <c r="G7" i="10"/>
  <c r="G23" i="10" s="1"/>
  <c r="J7" i="10"/>
  <c r="L29" i="10"/>
  <c r="L33" i="10" s="1"/>
  <c r="L34" i="10" s="1"/>
  <c r="L21" i="10"/>
  <c r="L26" i="10" s="1"/>
  <c r="L25" i="10" s="1"/>
  <c r="L28" i="10" s="1"/>
  <c r="T39" i="10"/>
  <c r="P39" i="10"/>
  <c r="P42" i="10" s="1"/>
  <c r="P47" i="10" s="1"/>
  <c r="P48" i="10" s="1"/>
  <c r="P51" i="10" s="1"/>
  <c r="P53" i="10" s="1"/>
  <c r="E11" i="16" s="1"/>
  <c r="X13" i="10"/>
  <c r="T13" i="10"/>
  <c r="E7" i="10"/>
  <c r="G20" i="10" l="1"/>
  <c r="K7" i="10"/>
  <c r="J38" i="10"/>
  <c r="J12" i="10"/>
  <c r="I17" i="10"/>
  <c r="I45" i="10" s="1"/>
  <c r="H17" i="10"/>
  <c r="H45" i="10" s="1"/>
  <c r="G27" i="10"/>
  <c r="K17" i="10"/>
  <c r="G32" i="10"/>
  <c r="G19" i="10"/>
  <c r="F7" i="10"/>
  <c r="F17" i="10" s="1"/>
  <c r="E38" i="10"/>
  <c r="E12" i="10"/>
  <c r="D12" i="10"/>
  <c r="C17" i="10"/>
  <c r="C12" i="10"/>
  <c r="G24" i="10"/>
  <c r="E17" i="10"/>
  <c r="D17" i="10" l="1"/>
  <c r="D45" i="10" s="1"/>
  <c r="H12" i="10"/>
  <c r="J17" i="10"/>
  <c r="J45" i="10" s="1"/>
  <c r="I12" i="10"/>
  <c r="K38" i="10"/>
  <c r="C45" i="10"/>
  <c r="F12" i="10"/>
  <c r="E45" i="10"/>
  <c r="F38" i="10"/>
  <c r="G22" i="10"/>
  <c r="K53" i="10" l="1"/>
  <c r="D11" i="16" s="1"/>
  <c r="K45" i="10"/>
  <c r="K39" i="10"/>
  <c r="K52" i="10"/>
  <c r="K42" i="10"/>
  <c r="G21" i="10"/>
  <c r="G26" i="10" s="1"/>
  <c r="G25" i="10" s="1"/>
  <c r="G28" i="10" s="1"/>
  <c r="G30" i="10"/>
  <c r="G31" i="10" s="1"/>
  <c r="G29" i="10" s="1"/>
  <c r="G33" i="10" s="1"/>
  <c r="G34" i="10" s="1"/>
  <c r="F45" i="10"/>
  <c r="F42" i="10"/>
  <c r="F53" i="10"/>
  <c r="C11" i="16" s="1"/>
  <c r="F39" i="10"/>
  <c r="F52" i="10"/>
  <c r="K12" i="10"/>
  <c r="F47" i="10" l="1"/>
  <c r="F48" i="10"/>
  <c r="F51" i="10" s="1"/>
  <c r="K48" i="10"/>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<sst xmlns="http://schemas.openxmlformats.org/spreadsheetml/2006/main" count="568" uniqueCount="507">
  <si>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</si>
  <si>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</si>
  <si>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</si>
  <si>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</si>
  <si>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</si>
  <si>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</si>
  <si>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</si>
  <si>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</si>
  <si>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</si>
  <si>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</si>
  <si>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</si>
  <si>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</si>
  <si>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</si>
  <si>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</si>
  <si>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</si>
  <si>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</si>
  <si>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</si>
  <si>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</si>
  <si>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</si>
  <si>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</si>
  <si>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</si>
  <si>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</si>
  <si>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</si>
  <si>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</si>
  <si>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</si>
  <si>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</si>
  <si>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</si>
  <si>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</si>
  <si>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</si>
  <si>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</si>
  <si>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</si>
  <si>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</si>
  <si>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</si>
  <si>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</si>
  <si>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</si>
  <si>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</si>
  <si>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</si>
  <si>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</si>
  <si>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</si>
  <si>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</si>
  <si>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</si>
  <si>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</si>
  <si>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</si>
  <si>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</si>
  <si>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</si>
  <si>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</si>
  <si>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</si>
  <si>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</si>
  <si>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</si>
  <si>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</si>
  <si>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</si>
  <si>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</si>
  <si>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</si>
  <si>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</si>
  <si>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</si>
  <si>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</si>
  <si>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</si>
  <si>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</si>
  <si>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</si>
  <si>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</si>
  <si>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</si>
  <si>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</si>
  <si>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</si>
  <si>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</si>
  <si>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</si>
  <si>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</si>
  <si>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</si>
  <si>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</si>
  <si>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</si>
  <si>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</si>
  <si>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</si>
  <si>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</si>
  <si>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</si>
  <si>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</si>
  <si>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</si>
  <si>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</si>
  <si>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</si>
  <si>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</si>
  <si>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</si>
  <si>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</si>
  <si>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</si>
  <si>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</si>
  <si>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</si>
  <si>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</si>
  <si>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</si>
  <si>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</si>
  <si>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</si>
  <si>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</si>
  <si>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</si>
  <si>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</si>
  <si>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</si>
  <si>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</si>
  <si>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</si>
  <si>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</si>
  <si>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</si>
  <si>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</si>
  <si>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</si>
  <si>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</si>
  <si>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</si>
  <si>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</si>
  <si>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</si>
  <si>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</si>
  <si>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</si>
  <si>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</si>
  <si>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</si>
  <si>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</si>
  <si>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</si>
  <si>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</si>
  <si>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</si>
  <si>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</si>
  <si>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</si>
  <si>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</si>
  <si>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</si>
  <si>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</si>
  <si>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</si>
  <si>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</si>
  <si>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</si>
  <si>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</si>
  <si>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</si>
  <si>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</si>
  <si>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</si>
  <si>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</si>
  <si>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</si>
  <si>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</si>
  <si>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</si>
  <si>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</si>
  <si>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</si>
  <si>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</si>
  <si>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</si>
  <si>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</si>
  <si>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</si>
  <si>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</si>
  <si>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</si>
  <si>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</si>
  <si>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</si>
  <si>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</si>
  <si>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</si>
  <si>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</si>
  <si>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</si>
  <si>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</si>
  <si>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</si>
  <si>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</si>
  <si>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</si>
  <si>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</si>
  <si>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</si>
  <si>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</si>
  <si>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</si>
  <si>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</si>
  <si>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</si>
  <si>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</si>
  <si>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</si>
  <si>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</si>
  <si>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</si>
  <si>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</si>
  <si>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</si>
  <si>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</si>
  <si>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</si>
  <si>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</si>
  <si>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</si>
  <si>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</si>
  <si>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</si>
  <si>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</si>
  <si>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</si>
  <si>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</si>
  <si>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</si>
  <si>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</si>
  <si>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</si>
  <si>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</si>
  <si>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</si>
  <si>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</si>
  <si>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</si>
  <si>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</si>
  <si>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</si>
  <si>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</si>
  <si>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</si>
  <si>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</si>
  <si>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</si>
  <si>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</si>
  <si>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</si>
  <si>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</si>
  <si>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</si>
  <si>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</si>
  <si>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</si>
  <si>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</si>
  <si>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</si>
  <si>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</si>
  <si>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</si>
  <si>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</si>
  <si>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</si>
  <si>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</si>
  <si>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</si>
  <si>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</si>
  <si>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</si>
  <si>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</si>
  <si>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</si>
  <si>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</si>
  <si>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</si>
  <si>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</si>
  <si>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</si>
  <si>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</si>
  <si>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</si>
  <si>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</si>
  <si>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</si>
  <si>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</si>
  <si>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</si>
  <si>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</si>
  <si>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</si>
  <si>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</si>
  <si>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</si>
  <si>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</si>
  <si>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</si>
  <si>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</si>
  <si>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</si>
  <si>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</si>
  <si>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</si>
  <si>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</si>
  <si>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</si>
  <si>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</si>
  <si>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</si>
  <si>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</si>
  <si>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</si>
  <si>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</si>
  <si>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</si>
  <si>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</si>
  <si>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</si>
  <si>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</si>
  <si>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</si>
  <si>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</si>
  <si>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</si>
  <si>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</si>
  <si>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</si>
  <si>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</si>
  <si>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</si>
  <si>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</si>
  <si>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</si>
  <si>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</si>
  <si>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</si>
  <si>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</si>
  <si>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</si>
  <si>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</si>
  <si>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</si>
  <si>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</si>
  <si>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</si>
  <si>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</si>
  <si>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</si>
  <si>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</si>
  <si>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</si>
  <si>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</si>
  <si>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</si>
  <si>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</si>
  <si>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</si>
  <si>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</si>
  <si>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</si>
  <si>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</si>
  <si>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</si>
  <si>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</si>
  <si>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</si>
  <si>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</si>
  <si>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</si>
  <si>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</si>
  <si>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</si>
  <si>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</si>
  <si>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</si>
  <si>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</si>
  <si>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</si>
  <si>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</si>
  <si>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</si>
  <si>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</si>
  <si>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</si>
  <si>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</si>
  <si>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</si>
  <si>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</si>
  <si>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</si>
  <si>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</si>
  <si>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</si>
  <si>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</si>
  <si>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</si>
  <si>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</si>
  <si>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</si>
  <si>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</si>
  <si>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</si>
  <si>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</si>
  <si>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</si>
  <si>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</si>
  <si>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</si>
  <si>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</si>
  <si>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</si>
  <si>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</si>
  <si>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</si>
  <si>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</si>
  <si>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</si>
  <si>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</si>
  <si>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</si>
  <si>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</si>
  <si>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</si>
  <si>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</si>
  <si>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</si>
  <si>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</si>
  <si>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</si>
  <si>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</si>
  <si>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</si>
  <si>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</si>
  <si>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</si>
  <si>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</si>
  <si>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</si>
  <si>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</si>
  <si>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</si>
  <si>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</si>
  <si>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</si>
  <si>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</si>
  <si>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</si>
  <si>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</si>
  <si>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</si>
  <si>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</si>
  <si>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</si>
  <si>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</si>
  <si>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</si>
  <si>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</si>
  <si>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</si>
  <si>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</si>
  <si>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</si>
  <si>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</si>
  <si>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</si>
  <si>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</si>
  <si>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</si>
  <si>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</si>
  <si>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</si>
  <si>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</si>
  <si>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</si>
  <si>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</si>
  <si>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</si>
  <si>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</si>
  <si>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</si>
  <si>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</si>
  <si>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</si>
  <si>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</si>
  <si>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</si>
  <si>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</si>
  <si>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</si>
  <si>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</si>
  <si>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</si>
  <si>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</si>
  <si>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</si>
  <si>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</si>
  <si>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</si>
  <si>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</si>
  <si>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</si>
  <si>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</si>
  <si>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</si>
  <si>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</si>
  <si>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</si>
  <si>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</si>
  <si>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</si>
  <si>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</si>
  <si>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</si>
  <si>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</si>
  <si>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</si>
  <si>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</si>
  <si>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</si>
  <si>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</si>
  <si>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</si>
  <si>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</si>
  <si>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</si>
  <si>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</si>
  <si>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</si>
  <si>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</si>
  <si>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</si>
  <si>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</si>
  <si>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</si>
  <si>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</si>
  <si>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</si>
  <si>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</si>
  <si>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</si>
  <si>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</si>
  <si>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</si>
  <si>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</si>
  <si>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</si>
  <si>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</si>
  <si>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</si>
  <si>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</si>
  <si>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</si>
  <si>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</si>
  <si>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</si>
  <si>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</si>
  <si>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</si>
  <si>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</si>
  <si>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</si>
  <si>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</si>
  <si>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</si>
  <si>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</si>
  <si>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</si>
  <si>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</si>
  <si>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</si>
  <si>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</si>
  <si>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</si>
  <si>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</si>
  <si>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</si>
  <si>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</si>
  <si>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</si>
  <si>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</si>
  <si>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</si>
  <si>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</si>
  <si>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</si>
  <si>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</si>
  <si>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</si>
  <si>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</si>
  <si>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</si>
  <si>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</si>
  <si>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</si>
  <si>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</si>
  <si>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</si>
  <si>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</si>
  <si>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</si>
  <si>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</si>
  <si>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</si>
  <si>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</si>
  <si>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</si>
  <si>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</si>
  <si>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</si>
  <si>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</si>
  <si>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</si>
  <si>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</si>
  <si>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</si>
  <si>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</si>
  <si>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</si>
  <si>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</si>
  <si>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</si>
  <si>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</si>
  <si>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</si>
  <si>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</si>
  <si>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</si>
  <si>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</si>
  <si>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</si>
  <si>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</si>
  <si>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</si>
  <si>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</si>
  <si>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</si>
  <si>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</si>
  <si>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</si>
  <si>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</si>
  <si>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</si>
  <si>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</si>
  <si>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</si>
  <si>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</si>
  <si>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</si>
  <si>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</si>
  <si>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</si>
  <si>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</si>
  <si>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</si>
  <si>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</si>
  <si>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</si>
  <si>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</si>
  <si>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</si>
  <si>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</si>
  <si>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</si>
  <si>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</si>
  <si>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</si>
  <si>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</si>
  <si>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</si>
  <si>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</si>
  <si>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</si>
  <si>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</si>
  <si>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</si>
  <si>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</si>
  <si>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</si>
  <si>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</si>
  <si>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</si>
  <si>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</si>
  <si>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</si>
  <si>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</si>
  <si>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</si>
  <si>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</si>
  <si>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</si>
  <si>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</si>
  <si>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</si>
  <si>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</si>
  <si>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</si>
  <si>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</si>
  <si>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</si>
  <si>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</si>
  <si>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</si>
  <si>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</si>
  <si>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</si>
  <si>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</si>
  <si>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</si>
  <si>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</si>
  <si>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</si>
  <si>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</si>
  <si>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</si>
  <si>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</si>
  <si>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</si>
  <si>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</si>
  <si>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</si>
  <si>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</si>
  <si>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</si>
  <si>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</si>
  <si>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Benefit Plan of Illinois, Inc.</t>
  </si>
  <si>
    <t>HUMANA GRP</t>
  </si>
  <si>
    <t>Humana</t>
  </si>
  <si>
    <t>119</t>
  </si>
  <si>
    <t>2015</t>
  </si>
  <si>
    <t>7915 N Hale Avenue, Suite D Peoria, IL 61615</t>
  </si>
  <si>
    <t>371326199</t>
  </si>
  <si>
    <t>060052</t>
  </si>
  <si>
    <t>60052</t>
  </si>
  <si>
    <t>87715</t>
  </si>
  <si>
    <t>211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</si>
</sst>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154</v>
      </c>
    </row>
    <row r="13" spans="1:6" x14ac:dyDescent="0.2">
      <c r="B13" s="147" t="s">
        <v>50</v>
      </c>
      <c r="C13" s="480" t="s">
        <v>154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6827734</v>
      </c>
      <c r="Q5" s="213">
        <f>SUM('Pt 2 Premium and Claims'!Q$5,'Pt 2 Premium and Claims'!Q$6,-'Pt 2 Premium and Claims'!Q$7,-'Pt 2 Premium and Claims'!Q$13,'Pt 2 Premium and Claims'!Q$14)</f>
        <v>6830192.4800000004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693917822</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-429</v>
      </c>
      <c r="Q7" s="217">
        <v>-429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-7036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-233612</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7493841</v>
      </c>
      <c r="Q12" s="213">
        <f>'Pt 2 Premium and Claims'!Q$54</f>
        <v>7530922.6539999992</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608702174</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990804</v>
      </c>
      <c r="Q13" s="217">
        <v>992076.29999999993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97446289</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161963</v>
      </c>
      <c r="Q14" s="217">
        <v>158196.57999999999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30256285</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1262</v>
      </c>
      <c r="Q15" s="217">
        <v>1261.9000000000001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73592</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-169216</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3028347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653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7622.99</v>
      </c>
      <c r="Q22" s="222">
        <f>'Pt 2 Premium and Claims'!Q$55</f>
        <v>7622.99</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-317869.09000000003</v>
      </c>
      <c r="Q25" s="217">
        <v>-317869.09547270078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6555695.0499999998</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2195.63</v>
      </c>
      <c r="Q26" s="217">
        <v>2195.63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112217.41</v>
      </c>
      <c r="Q27" s="217">
        <v>112217.41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11665013.140000001</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8793.5</v>
      </c>
      <c r="Q28" s="217">
        <v>8793.5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1052802.67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-18299.72</v>
      </c>
      <c r="Q30" s="217">
        <v>-18299.720469017742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697163.06</v>
      </c>
      <c r="AV30" s="220"/>
      <c r="AW30" s="297"/>
    </row>
    <row r="31" spans="1:49" x14ac:dyDescent="0.2">
      <c r="B31" s="242" t="s">
        <v>247</v>
      </c>
      <c r="C31" s="203"/>
      <c r="D31" s="216"/>
      <c r="E31" s="217"/>
      <c r="F31" s="217"/>
      <c r="G31" s="217"/>
      <c r="H31" s="217"/>
      <c r="I31" s="216"/>
      <c r="J31" s="216"/>
      <c r="K31" s="217"/>
      <c r="L31" s="217"/>
      <c r="M31" s="217"/>
      <c r="N31" s="217"/>
      <c r="O31" s="216"/>
      <c r="P31" s="216">
        <v>-863</v>
      </c>
      <c r="Q31" s="217">
        <v>-863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35022.68</v>
      </c>
      <c r="Q34" s="217">
        <v>35022.68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3910.04</v>
      </c>
      <c r="Q35" s="217">
        <v>3910.04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391919.46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v>0</v>
      </c>
      <c r="L37" s="225"/>
      <c r="M37" s="225"/>
      <c r="N37" s="225"/>
      <c r="O37" s="224"/>
      <c r="P37" s="224">
        <v>14324</v>
      </c>
      <c r="Q37" s="225">
        <v>14323.54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4983484</v>
      </c>
      <c r="AV37" s="226">
        <v>0</v>
      </c>
      <c r="AW37" s="296"/>
    </row>
    <row r="38" spans="1:49" x14ac:dyDescent="0.2">
      <c r="B38" s="239" t="s">
        <v>254</v>
      </c>
      <c r="C38" s="203" t="s">
        <v>16</v>
      </c>
      <c r="D38" s="216">
        <v>0</v>
      </c>
      <c r="E38" s="217"/>
      <c r="F38" s="217"/>
      <c r="G38" s="217"/>
      <c r="H38" s="217"/>
      <c r="I38" s="216"/>
      <c r="J38" s="216">
        <v>0</v>
      </c>
      <c r="K38" s="217">
        <v>0</v>
      </c>
      <c r="L38" s="217"/>
      <c r="M38" s="217"/>
      <c r="N38" s="217"/>
      <c r="O38" s="216"/>
      <c r="P38" s="216">
        <v>933</v>
      </c>
      <c r="Q38" s="217">
        <v>932.8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1771618</v>
      </c>
      <c r="AV38" s="220">
        <v>0</v>
      </c>
      <c r="AW38" s="297"/>
    </row>
    <row r="39" spans="1:49" x14ac:dyDescent="0.2">
      <c r="B39" s="242" t="s">
        <v>255</v>
      </c>
      <c r="C39" s="203" t="s">
        <v>17</v>
      </c>
      <c r="D39" s="216">
        <v>0</v>
      </c>
      <c r="E39" s="217"/>
      <c r="F39" s="217"/>
      <c r="G39" s="217"/>
      <c r="H39" s="217"/>
      <c r="I39" s="216"/>
      <c r="J39" s="216">
        <v>0</v>
      </c>
      <c r="K39" s="217">
        <v>0</v>
      </c>
      <c r="L39" s="217"/>
      <c r="M39" s="217"/>
      <c r="N39" s="217"/>
      <c r="O39" s="216"/>
      <c r="P39" s="216">
        <v>4936</v>
      </c>
      <c r="Q39" s="217">
        <v>4935.99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1252716</v>
      </c>
      <c r="AV39" s="220">
        <v>0</v>
      </c>
      <c r="AW39" s="297"/>
    </row>
    <row r="40" spans="1:49" x14ac:dyDescent="0.2">
      <c r="B40" s="242" t="s">
        <v>256</v>
      </c>
      <c r="C40" s="203" t="s">
        <v>38</v>
      </c>
      <c r="D40" s="216">
        <v>0</v>
      </c>
      <c r="E40" s="217"/>
      <c r="F40" s="217"/>
      <c r="G40" s="217"/>
      <c r="H40" s="217"/>
      <c r="I40" s="216"/>
      <c r="J40" s="216">
        <v>0</v>
      </c>
      <c r="K40" s="217">
        <v>0</v>
      </c>
      <c r="L40" s="217"/>
      <c r="M40" s="217"/>
      <c r="N40" s="217"/>
      <c r="O40" s="216"/>
      <c r="P40" s="216">
        <v>35743</v>
      </c>
      <c r="Q40" s="217">
        <v>35742.97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4400409</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6524</v>
      </c>
      <c r="Q41" s="217">
        <v>6524.31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857739</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v>0</v>
      </c>
      <c r="L44" s="225"/>
      <c r="M44" s="225"/>
      <c r="N44" s="225"/>
      <c r="O44" s="224"/>
      <c r="P44" s="224">
        <v>56429</v>
      </c>
      <c r="Q44" s="225">
        <v>56429.19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7327877</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49525</v>
      </c>
      <c r="Q45" s="217">
        <v>49525.07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5225489</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14880</v>
      </c>
      <c r="Q46" s="217">
        <v>14879.55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4908589</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3135</v>
      </c>
      <c r="Q47" s="217">
        <v>3135.46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4997361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-3623.1</v>
      </c>
      <c r="Q49" s="217">
        <v>-3623.1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84086.15</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26164.48</v>
      </c>
      <c r="AV50" s="220"/>
      <c r="AW50" s="297"/>
    </row>
    <row r="51" spans="2:49" x14ac:dyDescent="0.2">
      <c r="B51" s="239" t="s">
        <v>266</v>
      </c>
      <c r="C51" s="203"/>
      <c r="D51" s="216">
        <v>0</v>
      </c>
      <c r="E51" s="217"/>
      <c r="F51" s="217"/>
      <c r="G51" s="217"/>
      <c r="H51" s="217"/>
      <c r="I51" s="216"/>
      <c r="J51" s="216">
        <v>0</v>
      </c>
      <c r="K51" s="217">
        <v>0</v>
      </c>
      <c r="L51" s="217"/>
      <c r="M51" s="217"/>
      <c r="N51" s="217"/>
      <c r="O51" s="216"/>
      <c r="P51" s="216">
        <v>272381</v>
      </c>
      <c r="Q51" s="217">
        <v>272380.98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28128412</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478</v>
      </c>
      <c r="Q56" s="229">
        <v>478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68279</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980</v>
      </c>
      <c r="Q57" s="232">
        <v>980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68279</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138</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11882</v>
      </c>
      <c r="Q59" s="232">
        <v>11819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793919</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990.16666666666663</v>
      </c>
      <c r="Q60" s="235">
        <f t="shared" si="0"/>
        <v>984.91666666666663</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66159.916666666672</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2709933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465851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v>0</v>
      </c>
      <c r="L5" s="326"/>
      <c r="M5" s="326"/>
      <c r="N5" s="326"/>
      <c r="O5" s="325"/>
      <c r="P5" s="325">
        <v>6827734</v>
      </c>
      <c r="Q5" s="326">
        <v>6830192.4800000004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693917822</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186209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-4196411</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v>186209</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162539</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173453</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128704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-4197245</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7057226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17753</v>
      </c>
      <c r="AU23" s="321">
        <v>578301459</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7338844.5999999996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889831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59586160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164065.6339999999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655755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17753</v>
      </c>
      <c r="AU28" s="321">
        <v>23566676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186209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-4196411</v>
      </c>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186209</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162539</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173453</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128704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-4197245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244378</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44858</v>
      </c>
      <c r="Q49" s="319">
        <v>158196.57999999999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7870148</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27353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1832714</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7493841</v>
      </c>
      <c r="Q54" s="323">
        <f>Q24+Q27+Q31+Q35-Q36+Q39+Q42+Q45+Q46-Q49+Q51+Q52+Q53</f>
        <v>7530922.6539999992</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608702174</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7622.99</v>
      </c>
      <c r="Q55" s="323">
        <f t="shared" si="0"/>
        <v>7622.99</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v>7622.99</v>
      </c>
      <c r="Q56" s="319">
        <v>7622.99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20945</v>
      </c>
      <c r="Q57" s="319">
        <v>20945.16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2318964</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v>6951376.1100000003</v>
      </c>
      <c r="N5" s="403">
        <v>7011609.8300000001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v>6920029.7455000002</v>
      </c>
      <c r="N6" s="398">
        <v>6837339.2455000002</v>
      </c>
      <c r="O6" s="400">
        <f>SUM('Pt 1 Summary of Data'!Q$12,'Pt 1 Summary of Data'!Q$22)+SUM('Pt 1 Summary of Data'!S$12,'Pt 1 Summary of Data'!S$22)-SUM('Pt 1 Summary of Data'!T$12,'Pt 1 Summary of Data'!T$22)</f>
        <v>7538545.6439999994</v>
      </c>
      <c r="P6" s="400">
        <f>SUM(M6:O6)</f>
        <v>21295914.634999998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v>77279.759999999995</v>
      </c>
      <c r="N7" s="398">
        <v>93538.4</v>
      </c>
      <c r="O7" s="400">
        <f>SUM('Pt 1 Summary of Data'!Q$37:Q$41)+SUM('Pt 1 Summary of Data'!S$37:S$41)-SUM('Pt 1 Summary of Data'!T$37:T$41)+MAX(0,MIN('Pt 1 Summary of Data'!Q$42+'Pt 1 Summary of Data'!S$42-'Pt 1 Summary of Data'!T$42,0.3%*('Pt 1 Summary of Data'!Q$5+'Pt 1 Summary of Data'!S$5-'Pt 1 Summary of Data'!T$5)))</f>
        <v>62459.61</v>
      </c>
      <c r="P7" s="400">
        <f>SUM(M7:O7)</f>
        <v>233277.76999999996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6997309.5055</v>
      </c>
      <c r="N12" s="400">
        <f>SUM(N$6:N$7)</f>
        <v>6930877.6455000006</v>
      </c>
      <c r="O12" s="400">
        <f>SUM(O$6:O$7)</f>
        <v>7601005.2539999997</v>
      </c>
      <c r="P12" s="400">
        <f>SUM(M$12:O$12)+M$17*MAX(0,O$50-M$50)+N$17*MAX(0,O$50-N$50)</f>
        <v>21529192.405000001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v>6972726.9400000004</v>
      </c>
      <c r="N15" s="403">
        <v>7396731.5999999996</v>
      </c>
      <c r="O15" s="395">
        <f>SUM('Pt 1 Summary of Data'!Q$5:Q$7)+SUM('Pt 1 Summary of Data'!S$5:S$7)-SUM('Pt 1 Summary of Data'!T$5:T$7)+N$56</f>
        <v>6829763.4800000004</v>
      </c>
      <c r="P15" s="395">
        <f>SUM(M15:O15)</f>
        <v>21199222.02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v>-830635.16</v>
      </c>
      <c r="N16" s="398">
        <v>283594.40000000002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-174892.55594171851</v>
      </c>
      <c r="P16" s="400">
        <f>SUM(M16:O16)</f>
        <v>-721933.31594171852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7803362.1000000006</v>
      </c>
      <c r="N17" s="400">
        <f>N$15-N$16</f>
        <v>7113137.1999999993</v>
      </c>
      <c r="O17" s="400">
        <f>O$15-O$16</f>
        <v>7004656.0359417191</v>
      </c>
      <c r="P17" s="400">
        <f>P$15-P$16</f>
        <v>21921155.335941717</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v>1179</v>
      </c>
      <c r="N38" s="405">
        <v>1077.75</v>
      </c>
      <c r="O38" s="432">
        <f>('Pt 1 Summary of Data'!Q$59+'Pt 1 Summary of Data'!S$59-'Pt 1 Summary of Data'!T$59)/12</f>
        <v>984.91666666666663</v>
      </c>
      <c r="P38" s="432">
        <f>SUM(M$38:O$38)</f>
        <v>3241.6666666666665</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4.7550000000000002E-2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 ca="1">IF(OR(P$38&lt;1000,P$38&gt;=75000),0,P$39*P$41)</f>
        <v>4.7550000000000002E-2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f>IF(OR(M$38&lt;1000,M$17&lt;=0),"",M$12/M$17)</f>
        <v>0.8967044481378097</v>
      </c>
      <c r="N45" s="436">
        <f>IF(OR(N$38&lt;1000,N$17&lt;=0),"",N$12/N$17)</f>
        <v>0.97437705060714996</v>
      </c>
      <c r="O45" s="436" t="str">
        <f>IF(OR(O$38&lt;1000,O$17&lt;=0),"",O$12/O$17)</f>
        <v/>
      </c>
      <c r="P45" s="436">
        <f>IF(OR(P$38&lt;1000,P$17&lt;=0),"",P$12/P$17)</f>
        <v>0.98211942185825141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f ca="1">IF(P$45="","",P$42)</f>
        <v>4.7550000000000002E-2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f ca="1">IF(P$45="","",ROUND(P$45+MAX(0,P$47),3))</f>
        <v>1.03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f ca="1">P$48</f>
        <v>1.03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f>IF(P$38&lt;1000,"",MAX(0,O$15-O$16))</f>
        <v>7004656.0359417191</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2964.3489399999999</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-352.84347989999998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478</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