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AB41" i="10"/>
  <c r="X41" i="10"/>
  <c r="T41" i="10"/>
  <c r="P41" i="10"/>
  <c r="K41" i="10"/>
  <c r="F41" i="10"/>
  <c r="AB39" i="10"/>
  <c r="X39" i="10"/>
  <c r="T39" i="10"/>
  <c r="AB38" i="10"/>
  <c r="AA38" i="10"/>
  <c r="X38" i="10"/>
  <c r="W38" i="10"/>
  <c r="T38" i="10"/>
  <c r="S38" i="10"/>
  <c r="P38" i="10"/>
  <c r="O38" i="10"/>
  <c r="L32" i="10"/>
  <c r="L27" i="10"/>
  <c r="L24" i="10"/>
  <c r="L23" i="10"/>
  <c r="L20" i="10"/>
  <c r="L19" i="10"/>
  <c r="L22" i="10" s="1"/>
  <c r="AB17" i="10"/>
  <c r="AA17" i="10"/>
  <c r="Z17" i="10"/>
  <c r="Y17" i="10"/>
  <c r="AB13" i="10" s="1"/>
  <c r="X17" i="10"/>
  <c r="W17" i="10"/>
  <c r="V17" i="10"/>
  <c r="U17" i="10"/>
  <c r="T17" i="10"/>
  <c r="S17" i="10"/>
  <c r="R17" i="10"/>
  <c r="Q17" i="10"/>
  <c r="P17" i="10"/>
  <c r="O17" i="10"/>
  <c r="N17" i="10"/>
  <c r="M17" i="10"/>
  <c r="AB16" i="10"/>
  <c r="AA16" i="10"/>
  <c r="X16" i="10"/>
  <c r="W16" i="10"/>
  <c r="W13" i="10" s="1"/>
  <c r="T16" i="10"/>
  <c r="S16" i="10"/>
  <c r="P16" i="10"/>
  <c r="O16" i="10"/>
  <c r="L16" i="10"/>
  <c r="K16" i="10"/>
  <c r="J16" i="10"/>
  <c r="G16" i="10"/>
  <c r="F16" i="10"/>
  <c r="E16" i="10"/>
  <c r="AB15" i="10"/>
  <c r="AA15" i="10"/>
  <c r="X15" i="10"/>
  <c r="W15" i="10"/>
  <c r="V13" i="10" s="1"/>
  <c r="T15" i="10"/>
  <c r="S15" i="10"/>
  <c r="P15" i="10"/>
  <c r="O15" i="10"/>
  <c r="L15" i="10"/>
  <c r="AA13" i="10"/>
  <c r="Z13" i="10"/>
  <c r="Y13" i="10"/>
  <c r="U13" i="10"/>
  <c r="R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S22" i="4" s="1"/>
  <c r="AC55" i="18"/>
  <c r="AC22" i="4" s="1"/>
  <c r="AB55" i="18"/>
  <c r="AB22" i="4" s="1"/>
  <c r="AA55" i="18"/>
  <c r="AA22" i="4" s="1"/>
  <c r="Z55" i="18"/>
  <c r="Z22" i="4" s="1"/>
  <c r="Y55" i="18"/>
  <c r="Y22" i="4" s="1"/>
  <c r="X55" i="18"/>
  <c r="X22" i="4" s="1"/>
  <c r="W55" i="18"/>
  <c r="W22" i="4" s="1"/>
  <c r="V55" i="18"/>
  <c r="V22" i="4" s="1"/>
  <c r="U55" i="18"/>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A54" i="18"/>
  <c r="AA12" i="4" s="1"/>
  <c r="Z54" i="18"/>
  <c r="Z12" i="4" s="1"/>
  <c r="Y54" i="18"/>
  <c r="Y12" i="4" s="1"/>
  <c r="X54" i="18"/>
  <c r="X12" i="4" s="1"/>
  <c r="W54" i="18"/>
  <c r="W12" i="4" s="1"/>
  <c r="V54" i="18"/>
  <c r="V12" i="4" s="1"/>
  <c r="U54" i="18"/>
  <c r="U12" i="4" s="1"/>
  <c r="T54" i="18"/>
  <c r="S54" i="18"/>
  <c r="R54" i="18"/>
  <c r="R12" i="4" s="1"/>
  <c r="Q54" i="18"/>
  <c r="Q12" i="4" s="1"/>
  <c r="P54" i="18"/>
  <c r="O54" i="18"/>
  <c r="O12" i="4" s="1"/>
  <c r="N54" i="18"/>
  <c r="N12" i="4" s="1"/>
  <c r="M54" i="18"/>
  <c r="L54" i="18"/>
  <c r="L12" i="4" s="1"/>
  <c r="K54" i="18"/>
  <c r="J54" i="18"/>
  <c r="J12" i="4" s="1"/>
  <c r="I54" i="18"/>
  <c r="I12" i="4" s="1"/>
  <c r="H54" i="18"/>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U22" i="4"/>
  <c r="AB12" i="4"/>
  <c r="T12" i="4"/>
  <c r="S12" i="4"/>
  <c r="P12" i="4"/>
  <c r="M12" i="4"/>
  <c r="K12" i="4"/>
  <c r="H12" i="4"/>
  <c r="F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L30" i="10" l="1"/>
  <c r="L31" i="10" s="1"/>
  <c r="L29" i="10" s="1"/>
  <c r="L33" i="10" s="1"/>
  <c r="L34" i="10" s="1"/>
  <c r="E15" i="10"/>
  <c r="G15" i="10"/>
  <c r="G19" i="10" s="1"/>
  <c r="J7" i="10"/>
  <c r="K7" i="10" s="1"/>
  <c r="F15" i="10"/>
  <c r="E7" i="10"/>
  <c r="J15" i="10"/>
  <c r="G23" i="10"/>
  <c r="G27" i="10"/>
  <c r="L21" i="10"/>
  <c r="L26" i="10" s="1"/>
  <c r="L25" i="10" s="1"/>
  <c r="L28" i="10" s="1"/>
  <c r="P39" i="10"/>
  <c r="P42" i="10" s="1"/>
  <c r="P47" i="10" s="1"/>
  <c r="P48" i="10" s="1"/>
  <c r="P51" i="10" s="1"/>
  <c r="P53" i="10" s="1"/>
  <c r="E11" i="16" s="1"/>
  <c r="T13" i="10"/>
  <c r="X13" i="10"/>
  <c r="S13" i="10"/>
  <c r="G20" i="10" l="1"/>
  <c r="G22" i="10" s="1"/>
  <c r="G32" i="10"/>
  <c r="G24" i="10"/>
  <c r="K15" i="10"/>
  <c r="J17" i="10" s="1"/>
  <c r="F7" i="10"/>
  <c r="E12" i="10" s="1"/>
  <c r="D17" i="10" l="1"/>
  <c r="C12" i="10"/>
  <c r="E38" i="10"/>
  <c r="F38" i="10" s="1"/>
  <c r="F17" i="10"/>
  <c r="D12" i="10"/>
  <c r="D45" i="10" s="1"/>
  <c r="I17" i="10"/>
  <c r="C17" i="10"/>
  <c r="C45" i="10" s="1"/>
  <c r="K17" i="10"/>
  <c r="J12" i="10"/>
  <c r="H12" i="10"/>
  <c r="J38" i="10"/>
  <c r="E17" i="10"/>
  <c r="E45" i="10" s="1"/>
  <c r="I12" i="10"/>
  <c r="I45" i="10" s="1"/>
  <c r="H17" i="10"/>
  <c r="G30" i="10"/>
  <c r="G31" i="10" s="1"/>
  <c r="G29" i="10" s="1"/>
  <c r="G33" i="10" s="1"/>
  <c r="G34" i="10" s="1"/>
  <c r="G21" i="10"/>
  <c r="G26" i="10" s="1"/>
  <c r="G25" i="10" s="1"/>
  <c r="G28" i="10" s="1"/>
  <c r="F12" i="10" l="1"/>
  <c r="F45" i="10" s="1"/>
  <c r="H45" i="10"/>
  <c r="K12" i="10"/>
  <c r="F52" i="10"/>
  <c r="F39" i="10"/>
  <c r="F42" i="10" s="1"/>
  <c r="K38" i="10"/>
  <c r="J45" i="10"/>
  <c r="K52" i="10" l="1"/>
  <c r="K39" i="10"/>
  <c r="K42" i="10"/>
  <c r="F47" i="10"/>
  <c r="F48" i="10" s="1"/>
  <c r="F51" i="10" s="1"/>
  <c r="F53" i="10" s="1"/>
  <c r="C11" i="16" s="1"/>
  <c r="K45" i="10"/>
  <c r="K47" i="10" l="1"/>
  <c r="K48" i="10" s="1"/>
  <c r="K51" i="10" s="1"/>
  <c r="K53" i="10" s="1"/>
  <c r="D11" i="16" s="1"/>
</calcChain>
</file>

<file path=xl/sharedStrings.xml><?xml version="1.0" encoding="utf-8"?>
<sst xmlns="http://schemas.openxmlformats.org/spreadsheetml/2006/main" count="576" uniqueCount="514">
  <si>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</si>
  <si>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</si>
  <si>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</si>
  <si>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</si>
  <si>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</si>
  <si>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</si>
  <si>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</si>
  <si>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</si>
  <si>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</si>
  <si>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</si>
  <si>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</si>
  <si>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</si>
  <si>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</si>
  <si>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</si>
  <si>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</si>
  <si>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</si>
  <si>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</si>
  <si>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</si>
  <si>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</si>
  <si>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</si>
  <si>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</si>
  <si>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</si>
  <si>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</si>
  <si>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</si>
  <si>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</si>
  <si>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</si>
  <si>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</si>
  <si>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</si>
  <si>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</si>
  <si>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</si>
  <si>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</si>
  <si>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</si>
  <si>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</si>
  <si>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</si>
  <si>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</si>
  <si>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</si>
  <si>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</si>
  <si>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</si>
  <si>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</si>
  <si>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</si>
  <si>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</si>
  <si>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</si>
  <si>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</si>
  <si>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</si>
  <si>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</si>
  <si>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</si>
  <si>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</si>
  <si>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</si>
  <si>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</si>
  <si>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</si>
  <si>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</si>
  <si>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</si>
  <si>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</si>
  <si>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</si>
  <si>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</si>
  <si>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</si>
  <si>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</si>
  <si>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</si>
  <si>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</si>
  <si>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</si>
  <si>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</si>
  <si>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</si>
  <si>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</si>
  <si>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</si>
  <si>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</si>
  <si>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</si>
  <si>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</si>
  <si>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</si>
  <si>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</si>
  <si>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</si>
  <si>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</si>
  <si>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</si>
  <si>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</si>
  <si>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</si>
  <si>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</si>
  <si>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</si>
  <si>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</si>
  <si>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</si>
  <si>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</si>
  <si>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</si>
  <si>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</si>
  <si>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</si>
  <si>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</si>
  <si>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</si>
  <si>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</si>
  <si>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</si>
  <si>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</si>
  <si>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</si>
  <si>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</si>
  <si>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</si>
  <si>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</si>
  <si>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</si>
  <si>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</si>
  <si>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</si>
  <si>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</si>
  <si>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</si>
  <si>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</si>
  <si>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</si>
  <si>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</si>
  <si>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</si>
  <si>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</si>
  <si>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</si>
  <si>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</si>
  <si>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</si>
  <si>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</si>
  <si>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</si>
  <si>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</si>
  <si>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</si>
  <si>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</si>
  <si>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</si>
  <si>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</si>
  <si>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</si>
  <si>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</si>
  <si>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</si>
  <si>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</si>
  <si>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</si>
  <si>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</si>
  <si>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</si>
  <si>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</si>
  <si>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</si>
  <si>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</si>
  <si>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</si>
  <si>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</si>
  <si>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</si>
  <si>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</si>
  <si>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</si>
  <si>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</si>
  <si>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</si>
  <si>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</si>
  <si>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</si>
  <si>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</si>
  <si>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</si>
  <si>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</si>
  <si>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</si>
  <si>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</si>
  <si>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</si>
  <si>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</si>
  <si>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</si>
  <si>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</si>
  <si>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</si>
  <si>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</si>
  <si>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</si>
  <si>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</si>
  <si>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</si>
  <si>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</si>
  <si>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</si>
  <si>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</si>
  <si>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</si>
  <si>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</si>
  <si>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</si>
  <si>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</si>
  <si>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</si>
  <si>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</si>
  <si>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</si>
  <si>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</si>
  <si>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</si>
  <si>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</si>
  <si>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</si>
  <si>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</si>
  <si>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</si>
  <si>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</si>
  <si>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</si>
  <si>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</si>
  <si>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</si>
  <si>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</si>
  <si>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</si>
  <si>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</si>
  <si>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</si>
  <si>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</si>
  <si>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</si>
  <si>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</si>
  <si>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</si>
  <si>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</si>
  <si>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</si>
  <si>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</si>
  <si>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</si>
  <si>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</si>
  <si>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</si>
  <si>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</si>
  <si>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</si>
  <si>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</si>
  <si>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</si>
  <si>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</si>
  <si>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</si>
  <si>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</si>
  <si>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</si>
  <si>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</si>
  <si>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</si>
  <si>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</si>
  <si>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</si>
  <si>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</si>
  <si>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</si>
  <si>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</si>
  <si>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</si>
  <si>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</si>
  <si>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</si>
  <si>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</si>
  <si>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</si>
  <si>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</si>
  <si>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</si>
  <si>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</si>
  <si>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</si>
  <si>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</si>
  <si>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</si>
  <si>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</si>
  <si>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</si>
  <si>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</si>
  <si>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</si>
  <si>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</si>
  <si>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</si>
  <si>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</si>
  <si>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</si>
  <si>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</si>
  <si>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</si>
  <si>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</si>
  <si>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</si>
  <si>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</si>
  <si>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</si>
  <si>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</si>
  <si>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</si>
  <si>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</si>
  <si>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</si>
  <si>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</si>
  <si>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</si>
  <si>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</si>
  <si>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</si>
  <si>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</si>
  <si>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</si>
  <si>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</si>
  <si>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</si>
  <si>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</si>
  <si>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</si>
  <si>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</si>
  <si>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</si>
  <si>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</si>
  <si>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</si>
  <si>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</si>
  <si>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</si>
  <si>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</si>
  <si>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</si>
  <si>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</si>
  <si>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</si>
  <si>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</si>
  <si>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</si>
  <si>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</si>
  <si>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</si>
  <si>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</si>
  <si>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</si>
  <si>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</si>
  <si>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</si>
  <si>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</si>
  <si>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</si>
  <si>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</si>
  <si>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</si>
  <si>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</si>
  <si>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</si>
  <si>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</si>
  <si>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</si>
  <si>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</si>
  <si>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</si>
  <si>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</si>
  <si>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</si>
  <si>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</si>
  <si>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</si>
  <si>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</si>
  <si>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</si>
  <si>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</si>
  <si>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</si>
  <si>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</si>
  <si>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</si>
  <si>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</si>
  <si>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</si>
  <si>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</si>
  <si>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</si>
  <si>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</si>
  <si>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</si>
  <si>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</si>
  <si>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</si>
  <si>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</si>
  <si>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</si>
  <si>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</si>
  <si>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</si>
  <si>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</si>
  <si>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</si>
  <si>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</si>
  <si>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</si>
  <si>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</si>
  <si>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</si>
  <si>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</si>
  <si>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</si>
  <si>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</si>
  <si>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</si>
  <si>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</si>
  <si>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</si>
  <si>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</si>
  <si>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</si>
  <si>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</si>
  <si>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</si>
  <si>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</si>
  <si>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</si>
  <si>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</si>
  <si>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</si>
  <si>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</si>
  <si>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</si>
  <si>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</si>
  <si>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</si>
  <si>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</si>
  <si>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</si>
  <si>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</si>
  <si>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</si>
  <si>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</si>
  <si>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</si>
  <si>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</si>
  <si>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</si>
  <si>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</si>
  <si>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</si>
  <si>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</si>
  <si>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</si>
  <si>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</si>
  <si>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</si>
  <si>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</si>
  <si>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</si>
  <si>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</si>
  <si>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</si>
  <si>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</si>
  <si>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</si>
  <si>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</si>
  <si>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</si>
  <si>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</si>
  <si>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</si>
  <si>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</si>
  <si>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</si>
  <si>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</si>
  <si>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</si>
  <si>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</si>
  <si>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</si>
  <si>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</si>
  <si>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</si>
  <si>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</si>
  <si>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</si>
  <si>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</si>
  <si>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</si>
  <si>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</si>
  <si>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</si>
  <si>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</si>
  <si>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</si>
  <si>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</si>
  <si>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</si>
  <si>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</si>
  <si>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</si>
  <si>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</si>
  <si>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</si>
  <si>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</si>
  <si>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</si>
  <si>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</si>
  <si>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</si>
  <si>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</si>
  <si>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</si>
  <si>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</si>
  <si>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</si>
  <si>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</si>
  <si>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</si>
  <si>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</si>
  <si>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</si>
  <si>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</si>
  <si>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</si>
  <si>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</si>
  <si>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</si>
  <si>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</si>
  <si>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</si>
  <si>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</si>
  <si>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</si>
  <si>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</si>
  <si>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</si>
  <si>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</si>
  <si>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</si>
  <si>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</si>
  <si>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</si>
  <si>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</si>
  <si>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</si>
  <si>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</si>
  <si>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</si>
  <si>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</si>
  <si>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</si>
  <si>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</si>
  <si>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</si>
  <si>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</si>
  <si>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</si>
  <si>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</si>
  <si>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</si>
  <si>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</si>
  <si>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</si>
  <si>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</si>
  <si>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</si>
  <si>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</si>
  <si>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</si>
  <si>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</si>
  <si>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</si>
  <si>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</si>
  <si>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</si>
  <si>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</si>
  <si>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</si>
  <si>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</si>
  <si>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</si>
  <si>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</si>
  <si>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</si>
  <si>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</si>
  <si>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</si>
  <si>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</si>
  <si>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</si>
  <si>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</si>
  <si>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</si>
  <si>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</si>
  <si>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</si>
  <si>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</si>
  <si>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</si>
  <si>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</si>
  <si>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</si>
  <si>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</si>
  <si>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</si>
  <si>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</si>
  <si>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</si>
  <si>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</si>
  <si>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</si>
  <si>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</si>
  <si>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</si>
  <si>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</si>
  <si>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</si>
  <si>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</si>
  <si>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</si>
  <si>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</si>
  <si>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</si>
  <si>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</si>
  <si>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</si>
  <si>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</si>
  <si>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</si>
  <si>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</si>
  <si>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</si>
  <si>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</si>
  <si>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</si>
  <si>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</si>
  <si>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</si>
  <si>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</si>
  <si>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</si>
  <si>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</si>
  <si>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</si>
  <si>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</si>
  <si>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</si>
  <si>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</si>
  <si>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</si>
  <si>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</si>
  <si>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</si>
  <si>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</si>
  <si>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</si>
  <si>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</si>
  <si>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</si>
  <si>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</si>
  <si>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</si>
  <si>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</si>
  <si>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</si>
  <si>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</si>
  <si>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</si>
  <si>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</si>
  <si>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</si>
  <si>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</si>
  <si>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</si>
  <si>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</si>
  <si>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</si>
  <si>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</si>
  <si>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</si>
  <si>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</si>
  <si>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</si>
  <si>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</si>
  <si>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</si>
  <si>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</si>
  <si>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</si>
  <si>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</si>
  <si>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</si>
  <si>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</si>
  <si>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</si>
  <si>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</si>
  <si>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</si>
  <si>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</si>
  <si>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</si>
  <si>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</si>
  <si>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</si>
  <si>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</si>
  <si>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</si>
  <si>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</si>
  <si>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</si>
  <si>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</si>
  <si>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</si>
  <si>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</si>
  <si>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</si>
  <si>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</si>
  <si>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</si>
  <si>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Plan of Ohio, Inc.</t>
  </si>
  <si>
    <t>HUMANA GRP</t>
  </si>
  <si>
    <t>Humana</t>
  </si>
  <si>
    <t>119</t>
  </si>
  <si>
    <t>2015</t>
  </si>
  <si>
    <t>640 Eden Park Drive Cincinnati, OH 45202</t>
  </si>
  <si>
    <t>311154200</t>
  </si>
  <si>
    <t>095348</t>
  </si>
  <si>
    <t>95348</t>
  </si>
  <si>
    <t>66083</t>
  </si>
  <si>
    <t>216</t>
  </si>
  <si>
    <t>Humana Insurance Company</t>
  </si>
  <si>
    <t>Humana Employers Health Plan of Georgia, Inc.</t>
  </si>
  <si>
    <t>Humana Health Plan, Inc.</t>
  </si>
  <si>
    <t>Humana Insurance Company of Kentucky</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</si>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</sst>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176</v>
      </c>
    </row>
    <row r="13" spans="1:6" x14ac:dyDescent="0.2">
      <c r="B13" s="147" t="s">
        <v>50</v>
      </c>
      <c r="C13" s="480" t="s">
        <v>176</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34023885</v>
      </c>
      <c r="E5" s="213">
        <f>SUM('Pt 2 Premium and Claims'!E$5,'Pt 2 Premium and Claims'!E$6,-'Pt 2 Premium and Claims'!E$7,-'Pt 2 Premium and Claims'!E$13,'Pt 2 Premium and Claims'!E$14:'Pt 2 Premium and Claims'!E$17)</f>
        <v>40433413.6961274</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40342694</v>
      </c>
      <c r="J5" s="212">
        <f>SUM('Pt 2 Premium and Claims'!J$5,'Pt 2 Premium and Claims'!J$6,-'Pt 2 Premium and Claims'!J$7,-'Pt 2 Premium and Claims'!J$13,'Pt 2 Premium and Claims'!J$14,'Pt 2 Premium and Claims'!J$16:'Pt 2 Premium and Claims'!J$17)</f>
        <v>113030046</v>
      </c>
      <c r="K5" s="213">
        <f>SUM('Pt 2 Premium and Claims'!K$5,'Pt 2 Premium and Claims'!K$6,-'Pt 2 Premium and Claims'!K$7,-'Pt 2 Premium and Claims'!K$13,'Pt 2 Premium and Claims'!K$14,'Pt 2 Premium and Claims'!K$16:'Pt 2 Premium and Claims'!K$17)</f>
        <v>124974325.48145419</v>
      </c>
      <c r="L5" s="213">
        <f>SUM('Pt 2 Premium and Claims'!L$5,'Pt 2 Premium and Claims'!L$6,-'Pt 2 Premium and Claims'!L$7,-'Pt 2 Premium and Claims'!L$13,'Pt 2 Premium and Claims'!L$14,'Pt 2 Premium and Claims'!L$16:'Pt 2 Premium and Claims'!L$17)</f>
        <v>13018957.58</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65309619</v>
      </c>
      <c r="Q5" s="213">
        <f>SUM('Pt 2 Premium and Claims'!Q$5,'Pt 2 Premium and Claims'!Q$6,-'Pt 2 Premium and Claims'!Q$7,-'Pt 2 Premium and Claims'!Q$13,'Pt 2 Premium and Claims'!Q$14)</f>
        <v>73192176.337718293</v>
      </c>
      <c r="R5" s="213">
        <f>SUM('Pt 2 Premium and Claims'!R$5,'Pt 2 Premium and Claims'!R$6,-'Pt 2 Premium and Claims'!R$7,-'Pt 2 Premium and Claims'!R$13,'Pt 2 Premium and Claims'!R$14)</f>
        <v>6613894.2599999998</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373160399</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v>0</v>
      </c>
      <c r="J7" s="216">
        <v>0</v>
      </c>
      <c r="K7" s="217">
        <v>-376.01</v>
      </c>
      <c r="L7" s="217">
        <v>-376.01</v>
      </c>
      <c r="M7" s="217"/>
      <c r="N7" s="217"/>
      <c r="O7" s="216"/>
      <c r="P7" s="216">
        <v>0</v>
      </c>
      <c r="Q7" s="217">
        <v>-254.02</v>
      </c>
      <c r="R7" s="217">
        <v>-254.02</v>
      </c>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-382206</v>
      </c>
      <c r="E8" s="268"/>
      <c r="F8" s="269"/>
      <c r="G8" s="269"/>
      <c r="H8" s="269"/>
      <c r="I8" s="272"/>
      <c r="J8" s="216">
        <v>-194119</v>
      </c>
      <c r="K8" s="268"/>
      <c r="L8" s="269"/>
      <c r="M8" s="269"/>
      <c r="N8" s="269"/>
      <c r="O8" s="272"/>
      <c r="P8" s="216">
        <v>-85651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30180785</v>
      </c>
      <c r="E12" s="213">
        <f>'Pt 2 Premium and Claims'!E$54</f>
        <v>40856750.464199997</v>
      </c>
      <c r="F12" s="213">
        <f>'Pt 2 Premium and Claims'!F$54</f>
        <v>0</v>
      </c>
      <c r="G12" s="213">
        <f>'Pt 2 Premium and Claims'!G$54</f>
        <v>0</v>
      </c>
      <c r="H12" s="213">
        <f>'Pt 2 Premium and Claims'!H$54</f>
        <v>0</v>
      </c>
      <c r="I12" s="212">
        <f>'Pt 2 Premium and Claims'!I$54</f>
        <v>40784568</v>
      </c>
      <c r="J12" s="212">
        <f>'Pt 2 Premium and Claims'!J$54</f>
        <v>88673987</v>
      </c>
      <c r="K12" s="213">
        <f>'Pt 2 Premium and Claims'!K$54</f>
        <v>94774318.634441018</v>
      </c>
      <c r="L12" s="213">
        <f>'Pt 2 Premium and Claims'!L$54</f>
        <v>9760638.4950667042</v>
      </c>
      <c r="M12" s="213">
        <f>'Pt 2 Premium and Claims'!M$54</f>
        <v>0</v>
      </c>
      <c r="N12" s="213">
        <f>'Pt 2 Premium and Claims'!N$54</f>
        <v>0</v>
      </c>
      <c r="O12" s="212">
        <f>'Pt 2 Premium and Claims'!O$54</f>
        <v>0</v>
      </c>
      <c r="P12" s="212">
        <f>'Pt 2 Premium and Claims'!P$54</f>
        <v>56765904</v>
      </c>
      <c r="Q12" s="213">
        <f>'Pt 2 Premium and Claims'!Q$54</f>
        <v>63234307.702837676</v>
      </c>
      <c r="R12" s="213">
        <f>'Pt 2 Premium and Claims'!R$54</f>
        <v>5378887.6005157214</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0</v>
      </c>
      <c r="AU12" s="214">
        <f>'Pt 2 Premium and Claims'!AU$54</f>
        <v>356741047</v>
      </c>
      <c r="AV12" s="291"/>
      <c r="AW12" s="296"/>
    </row>
    <row r="13" spans="1:49" ht="25.5" x14ac:dyDescent="0.2">
      <c r="B13" s="239" t="s">
        <v>230</v>
      </c>
      <c r="C13" s="203" t="s">
        <v>37</v>
      </c>
      <c r="D13" s="216">
        <v>5940695</v>
      </c>
      <c r="E13" s="217">
        <v>6292745.9500000002</v>
      </c>
      <c r="F13" s="217"/>
      <c r="G13" s="268"/>
      <c r="H13" s="269"/>
      <c r="I13" s="216">
        <v>6292746</v>
      </c>
      <c r="J13" s="216">
        <v>20054207</v>
      </c>
      <c r="K13" s="217">
        <v>19882622.658885278</v>
      </c>
      <c r="L13" s="217"/>
      <c r="M13" s="268"/>
      <c r="N13" s="269"/>
      <c r="O13" s="216"/>
      <c r="P13" s="216">
        <v>11236883</v>
      </c>
      <c r="Q13" s="217">
        <v>11479237.795275301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50286772</v>
      </c>
      <c r="AV13" s="290"/>
      <c r="AW13" s="297"/>
    </row>
    <row r="14" spans="1:49" ht="25.5" x14ac:dyDescent="0.2">
      <c r="B14" s="239" t="s">
        <v>231</v>
      </c>
      <c r="C14" s="203" t="s">
        <v>6</v>
      </c>
      <c r="D14" s="216">
        <v>844167</v>
      </c>
      <c r="E14" s="217">
        <v>788306.39</v>
      </c>
      <c r="F14" s="217"/>
      <c r="G14" s="267"/>
      <c r="H14" s="270"/>
      <c r="I14" s="216">
        <v>788307</v>
      </c>
      <c r="J14" s="216">
        <v>2830315</v>
      </c>
      <c r="K14" s="217">
        <v>2859961.0244833627</v>
      </c>
      <c r="L14" s="217"/>
      <c r="M14" s="267"/>
      <c r="N14" s="270"/>
      <c r="O14" s="216"/>
      <c r="P14" s="216">
        <v>1599118</v>
      </c>
      <c r="Q14" s="217">
        <v>1598152.7904373461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17758820</v>
      </c>
      <c r="AV14" s="290"/>
      <c r="AW14" s="297"/>
    </row>
    <row r="15" spans="1:49" ht="38.25" x14ac:dyDescent="0.2">
      <c r="B15" s="239" t="s">
        <v>232</v>
      </c>
      <c r="C15" s="203" t="s">
        <v>7</v>
      </c>
      <c r="D15" s="216">
        <v>2576</v>
      </c>
      <c r="E15" s="217">
        <v>2576.1999999999998</v>
      </c>
      <c r="F15" s="217"/>
      <c r="G15" s="267"/>
      <c r="H15" s="273"/>
      <c r="I15" s="216">
        <v>2573</v>
      </c>
      <c r="J15" s="216">
        <v>7335</v>
      </c>
      <c r="K15" s="217">
        <v>7250.7425783347971</v>
      </c>
      <c r="L15" s="217">
        <v>4.3321058063896691</v>
      </c>
      <c r="M15" s="267"/>
      <c r="N15" s="273"/>
      <c r="O15" s="216"/>
      <c r="P15" s="216">
        <v>4139</v>
      </c>
      <c r="Q15" s="217">
        <v>4229.7074216652027</v>
      </c>
      <c r="R15" s="217">
        <v>2.1078941936103308</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18660</v>
      </c>
      <c r="AV15" s="290"/>
      <c r="AW15" s="297"/>
    </row>
    <row r="16" spans="1:49" ht="25.5" x14ac:dyDescent="0.2">
      <c r="B16" s="239" t="s">
        <v>233</v>
      </c>
      <c r="C16" s="203" t="s">
        <v>61</v>
      </c>
      <c r="D16" s="216">
        <v>-4334563</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1568000</v>
      </c>
      <c r="E17" s="267"/>
      <c r="F17" s="270"/>
      <c r="G17" s="270"/>
      <c r="H17" s="270"/>
      <c r="I17" s="271"/>
      <c r="J17" s="216">
        <v>-840817</v>
      </c>
      <c r="K17" s="267"/>
      <c r="L17" s="270"/>
      <c r="M17" s="270"/>
      <c r="N17" s="270"/>
      <c r="O17" s="271"/>
      <c r="P17" s="216">
        <v>188539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1406461</v>
      </c>
      <c r="AV17" s="290"/>
      <c r="AW17" s="297"/>
    </row>
    <row r="18" spans="1:49" x14ac:dyDescent="0.2">
      <c r="B18" s="239" t="s">
        <v>235</v>
      </c>
      <c r="C18" s="203" t="s">
        <v>63</v>
      </c>
      <c r="D18" s="216">
        <v>0</v>
      </c>
      <c r="E18" s="267"/>
      <c r="F18" s="270"/>
      <c r="G18" s="270"/>
      <c r="H18" s="273"/>
      <c r="I18" s="271"/>
      <c r="J18" s="216">
        <v>883515</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76257</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33559</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35442</v>
      </c>
      <c r="E22" s="222">
        <f>'Pt 2 Premium and Claims'!E$55</f>
        <v>35442.26</v>
      </c>
      <c r="F22" s="222">
        <f>'Pt 2 Premium and Claims'!F$55</f>
        <v>0</v>
      </c>
      <c r="G22" s="222">
        <f>'Pt 2 Premium and Claims'!G$55</f>
        <v>0</v>
      </c>
      <c r="H22" s="222">
        <f>'Pt 2 Premium and Claims'!H$55</f>
        <v>0</v>
      </c>
      <c r="I22" s="221">
        <f>'Pt 2 Premium and Claims'!I$55</f>
        <v>35442</v>
      </c>
      <c r="J22" s="221">
        <f>'Pt 2 Premium and Claims'!J$55</f>
        <v>167102</v>
      </c>
      <c r="K22" s="222">
        <f>'Pt 2 Premium and Claims'!K$55</f>
        <v>183955.02</v>
      </c>
      <c r="L22" s="222">
        <f>'Pt 2 Premium and Claims'!L$55</f>
        <v>16853.52</v>
      </c>
      <c r="M22" s="222">
        <f>'Pt 2 Premium and Claims'!M$55</f>
        <v>0</v>
      </c>
      <c r="N22" s="222">
        <f>'Pt 2 Premium and Claims'!N$55</f>
        <v>0</v>
      </c>
      <c r="O22" s="221">
        <f>'Pt 2 Premium and Claims'!O$55</f>
        <v>0</v>
      </c>
      <c r="P22" s="221">
        <f>'Pt 2 Premium and Claims'!P$55</f>
        <v>96477.77</v>
      </c>
      <c r="Q22" s="222">
        <f>'Pt 2 Premium and Claims'!Q$55</f>
        <v>108462.96152515525</v>
      </c>
      <c r="R22" s="222">
        <f>'Pt 2 Premium and Claims'!R$55</f>
        <v>9819.8226818847361</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296964.19</v>
      </c>
      <c r="E25" s="217">
        <v>296787.88441173319</v>
      </c>
      <c r="F25" s="217"/>
      <c r="G25" s="217"/>
      <c r="H25" s="217"/>
      <c r="I25" s="216">
        <v>-2223158</v>
      </c>
      <c r="J25" s="216">
        <v>1866584.35</v>
      </c>
      <c r="K25" s="217">
        <v>2915736.4496981162</v>
      </c>
      <c r="L25" s="217">
        <v>1018839.7347273815</v>
      </c>
      <c r="M25" s="217"/>
      <c r="N25" s="217"/>
      <c r="O25" s="216"/>
      <c r="P25" s="216">
        <v>414787.12</v>
      </c>
      <c r="Q25" s="217">
        <v>-63814.86328858792</v>
      </c>
      <c r="R25" s="217">
        <v>-448475.90642607876</v>
      </c>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-10162100.810000001</v>
      </c>
      <c r="AV25" s="220"/>
      <c r="AW25" s="297"/>
    </row>
    <row r="26" spans="1:49" s="5" customFormat="1" x14ac:dyDescent="0.2">
      <c r="A26" s="35"/>
      <c r="B26" s="242" t="s">
        <v>242</v>
      </c>
      <c r="C26" s="203"/>
      <c r="D26" s="216">
        <v>2554.88</v>
      </c>
      <c r="E26" s="217">
        <v>2554.88</v>
      </c>
      <c r="F26" s="217"/>
      <c r="G26" s="217"/>
      <c r="H26" s="217"/>
      <c r="I26" s="216">
        <v>2529</v>
      </c>
      <c r="J26" s="216">
        <v>57675.12</v>
      </c>
      <c r="K26" s="217">
        <v>62932.735729801454</v>
      </c>
      <c r="L26" s="217">
        <v>6094.0388627253305</v>
      </c>
      <c r="M26" s="217"/>
      <c r="N26" s="217"/>
      <c r="O26" s="216"/>
      <c r="P26" s="216">
        <v>36948.14</v>
      </c>
      <c r="Q26" s="217">
        <v>41268.414270198547</v>
      </c>
      <c r="R26" s="217">
        <v>3483.8511372746693</v>
      </c>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680622.81</v>
      </c>
      <c r="E27" s="217">
        <v>680622.81</v>
      </c>
      <c r="F27" s="217"/>
      <c r="G27" s="217"/>
      <c r="H27" s="217"/>
      <c r="I27" s="216">
        <v>679841</v>
      </c>
      <c r="J27" s="216">
        <v>1937742.65</v>
      </c>
      <c r="K27" s="217">
        <v>2135004.5654076426</v>
      </c>
      <c r="L27" s="217">
        <v>220489.60880535754</v>
      </c>
      <c r="M27" s="217"/>
      <c r="N27" s="217"/>
      <c r="O27" s="216"/>
      <c r="P27" s="216">
        <v>1052584.3600000001</v>
      </c>
      <c r="Q27" s="217">
        <v>1176904.6845923571</v>
      </c>
      <c r="R27" s="217">
        <v>101092.63119464247</v>
      </c>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6254098.5499999998</v>
      </c>
      <c r="AV27" s="293"/>
      <c r="AW27" s="297"/>
    </row>
    <row r="28" spans="1:49" s="5" customFormat="1" x14ac:dyDescent="0.2">
      <c r="A28" s="35"/>
      <c r="B28" s="242" t="s">
        <v>244</v>
      </c>
      <c r="C28" s="203"/>
      <c r="D28" s="216">
        <v>93764.32</v>
      </c>
      <c r="E28" s="217">
        <v>93764.32</v>
      </c>
      <c r="F28" s="217"/>
      <c r="G28" s="217"/>
      <c r="H28" s="217"/>
      <c r="I28" s="216">
        <v>93666</v>
      </c>
      <c r="J28" s="216">
        <v>204320.22</v>
      </c>
      <c r="K28" s="217">
        <v>223946.44198200281</v>
      </c>
      <c r="L28" s="217">
        <v>22272.193278365859</v>
      </c>
      <c r="M28" s="217"/>
      <c r="N28" s="217"/>
      <c r="O28" s="216"/>
      <c r="P28" s="216">
        <v>118632.94</v>
      </c>
      <c r="Q28" s="217">
        <v>133548.89801799718</v>
      </c>
      <c r="R28" s="217">
        <v>12269.986721634143</v>
      </c>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732818.11</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38234</v>
      </c>
      <c r="E30" s="217">
        <v>38220.200369491846</v>
      </c>
      <c r="F30" s="217"/>
      <c r="G30" s="217"/>
      <c r="H30" s="217"/>
      <c r="I30" s="216">
        <v>-131023</v>
      </c>
      <c r="J30" s="216">
        <v>169223.2</v>
      </c>
      <c r="K30" s="217">
        <v>253021.30738758648</v>
      </c>
      <c r="L30" s="217">
        <v>82321.671541841089</v>
      </c>
      <c r="M30" s="217"/>
      <c r="N30" s="217"/>
      <c r="O30" s="216"/>
      <c r="P30" s="216">
        <v>52376.54</v>
      </c>
      <c r="Q30" s="217">
        <v>17252.538115171134</v>
      </c>
      <c r="R30" s="217">
        <v>-33662.036043903376</v>
      </c>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-541748.16</v>
      </c>
      <c r="AV30" s="220"/>
      <c r="AW30" s="297"/>
    </row>
    <row r="31" spans="1:49" x14ac:dyDescent="0.2">
      <c r="B31" s="242" t="s">
        <v>247</v>
      </c>
      <c r="C31" s="203"/>
      <c r="D31" s="216">
        <v>262030.52</v>
      </c>
      <c r="E31" s="217">
        <v>262030.52</v>
      </c>
      <c r="F31" s="217"/>
      <c r="G31" s="217"/>
      <c r="H31" s="217"/>
      <c r="I31" s="216">
        <v>261704</v>
      </c>
      <c r="J31" s="216">
        <v>822314.51</v>
      </c>
      <c r="K31" s="217">
        <v>1014462.5076028546</v>
      </c>
      <c r="L31" s="217">
        <v>202097.98220205947</v>
      </c>
      <c r="M31" s="217"/>
      <c r="N31" s="217"/>
      <c r="O31" s="216"/>
      <c r="P31" s="216">
        <v>417264.39</v>
      </c>
      <c r="Q31" s="217">
        <v>525835.86239714536</v>
      </c>
      <c r="R31" s="217">
        <v>98621.487797940514</v>
      </c>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0</v>
      </c>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105446.49</v>
      </c>
      <c r="E34" s="217">
        <v>419420.78</v>
      </c>
      <c r="F34" s="217"/>
      <c r="G34" s="217"/>
      <c r="H34" s="217"/>
      <c r="I34" s="216">
        <v>419013</v>
      </c>
      <c r="J34" s="216">
        <v>1243219.83</v>
      </c>
      <c r="K34" s="217">
        <v>1227401.1265054336</v>
      </c>
      <c r="L34" s="217"/>
      <c r="M34" s="217"/>
      <c r="N34" s="217"/>
      <c r="O34" s="216"/>
      <c r="P34" s="216">
        <v>663477.56999999995</v>
      </c>
      <c r="Q34" s="217">
        <v>679296.27349456656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1171485.31</v>
      </c>
      <c r="E35" s="217">
        <v>1171485.31</v>
      </c>
      <c r="F35" s="217"/>
      <c r="G35" s="217"/>
      <c r="H35" s="217"/>
      <c r="I35" s="216">
        <v>1171453</v>
      </c>
      <c r="J35" s="216">
        <v>78449.100000000006</v>
      </c>
      <c r="K35" s="217">
        <v>96399.277101850865</v>
      </c>
      <c r="L35" s="217">
        <v>18837.708306809727</v>
      </c>
      <c r="M35" s="217"/>
      <c r="N35" s="217"/>
      <c r="O35" s="216"/>
      <c r="P35" s="216">
        <v>39971.58</v>
      </c>
      <c r="Q35" s="217">
        <v>52699.562898149139</v>
      </c>
      <c r="R35" s="217">
        <v>11840.451693190274</v>
      </c>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240326.09</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91061</v>
      </c>
      <c r="E37" s="225">
        <v>91060.55</v>
      </c>
      <c r="F37" s="225"/>
      <c r="G37" s="225"/>
      <c r="H37" s="225"/>
      <c r="I37" s="224">
        <v>90985</v>
      </c>
      <c r="J37" s="224">
        <v>265284</v>
      </c>
      <c r="K37" s="225">
        <v>274113.07118239382</v>
      </c>
      <c r="L37" s="225">
        <v>12803.694979237176</v>
      </c>
      <c r="M37" s="225"/>
      <c r="N37" s="225"/>
      <c r="O37" s="224"/>
      <c r="P37" s="224">
        <v>214502</v>
      </c>
      <c r="Q37" s="225">
        <v>264208.61881760618</v>
      </c>
      <c r="R37" s="225">
        <v>45732.575020762823</v>
      </c>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2842905</v>
      </c>
      <c r="AV37" s="226">
        <v>0</v>
      </c>
      <c r="AW37" s="296"/>
    </row>
    <row r="38" spans="1:49" x14ac:dyDescent="0.2">
      <c r="B38" s="239" t="s">
        <v>254</v>
      </c>
      <c r="C38" s="203" t="s">
        <v>16</v>
      </c>
      <c r="D38" s="216">
        <v>10243</v>
      </c>
      <c r="E38" s="217">
        <v>10243.23</v>
      </c>
      <c r="F38" s="217"/>
      <c r="G38" s="217"/>
      <c r="H38" s="217"/>
      <c r="I38" s="216">
        <v>10206</v>
      </c>
      <c r="J38" s="216">
        <v>66203</v>
      </c>
      <c r="K38" s="217">
        <v>66274.00763209154</v>
      </c>
      <c r="L38" s="217">
        <v>1211.844761287535</v>
      </c>
      <c r="M38" s="217"/>
      <c r="N38" s="217"/>
      <c r="O38" s="216"/>
      <c r="P38" s="216">
        <v>74373</v>
      </c>
      <c r="Q38" s="217">
        <v>130058.46236790846</v>
      </c>
      <c r="R38" s="217">
        <v>54544.545238712468</v>
      </c>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1082753</v>
      </c>
      <c r="AV38" s="220">
        <v>0</v>
      </c>
      <c r="AW38" s="297"/>
    </row>
    <row r="39" spans="1:49" x14ac:dyDescent="0.2">
      <c r="B39" s="242" t="s">
        <v>255</v>
      </c>
      <c r="C39" s="203" t="s">
        <v>17</v>
      </c>
      <c r="D39" s="216">
        <v>38161</v>
      </c>
      <c r="E39" s="217">
        <v>38160.81</v>
      </c>
      <c r="F39" s="217"/>
      <c r="G39" s="217"/>
      <c r="H39" s="217"/>
      <c r="I39" s="216">
        <v>38129</v>
      </c>
      <c r="J39" s="216">
        <v>174527</v>
      </c>
      <c r="K39" s="217">
        <v>175189.03962958403</v>
      </c>
      <c r="L39" s="217">
        <v>2901.2275687093443</v>
      </c>
      <c r="M39" s="217"/>
      <c r="N39" s="217"/>
      <c r="O39" s="216"/>
      <c r="P39" s="216">
        <v>101191</v>
      </c>
      <c r="Q39" s="217">
        <v>109623.96037041597</v>
      </c>
      <c r="R39" s="217">
        <v>6194.2824312906559</v>
      </c>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827283</v>
      </c>
      <c r="AV39" s="220">
        <v>0</v>
      </c>
      <c r="AW39" s="297"/>
    </row>
    <row r="40" spans="1:49" x14ac:dyDescent="0.2">
      <c r="B40" s="242" t="s">
        <v>256</v>
      </c>
      <c r="C40" s="203" t="s">
        <v>38</v>
      </c>
      <c r="D40" s="216">
        <v>15576</v>
      </c>
      <c r="E40" s="217">
        <v>15576.06</v>
      </c>
      <c r="F40" s="217"/>
      <c r="G40" s="217"/>
      <c r="H40" s="217"/>
      <c r="I40" s="216">
        <v>15206</v>
      </c>
      <c r="J40" s="216">
        <v>1257784</v>
      </c>
      <c r="K40" s="217">
        <v>1263684.6979271669</v>
      </c>
      <c r="L40" s="217">
        <v>22625.374761047504</v>
      </c>
      <c r="M40" s="217"/>
      <c r="N40" s="217"/>
      <c r="O40" s="216"/>
      <c r="P40" s="216">
        <v>704663</v>
      </c>
      <c r="Q40" s="217">
        <v>754944.63207283302</v>
      </c>
      <c r="R40" s="217">
        <v>33557.315238952498</v>
      </c>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v>3218498</v>
      </c>
      <c r="AV40" s="220">
        <v>0</v>
      </c>
      <c r="AW40" s="297"/>
    </row>
    <row r="41" spans="1:49" s="5" customFormat="1" ht="25.5" x14ac:dyDescent="0.2">
      <c r="A41" s="35"/>
      <c r="B41" s="242" t="s">
        <v>257</v>
      </c>
      <c r="C41" s="203" t="s">
        <v>129</v>
      </c>
      <c r="D41" s="216">
        <v>47166</v>
      </c>
      <c r="E41" s="217">
        <v>47165.919999999998</v>
      </c>
      <c r="F41" s="217"/>
      <c r="G41" s="217"/>
      <c r="H41" s="217"/>
      <c r="I41" s="216">
        <v>47102</v>
      </c>
      <c r="J41" s="216">
        <v>167959</v>
      </c>
      <c r="K41" s="217">
        <v>184251.39919906549</v>
      </c>
      <c r="L41" s="217">
        <v>18386.737766496244</v>
      </c>
      <c r="M41" s="217"/>
      <c r="N41" s="217"/>
      <c r="O41" s="216"/>
      <c r="P41" s="216">
        <v>90780</v>
      </c>
      <c r="Q41" s="217">
        <v>102308.01080093451</v>
      </c>
      <c r="R41" s="217">
        <v>9434.0722335037572</v>
      </c>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v>544528</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385531</v>
      </c>
      <c r="E44" s="225">
        <v>385530.67</v>
      </c>
      <c r="F44" s="225"/>
      <c r="G44" s="225"/>
      <c r="H44" s="225"/>
      <c r="I44" s="224">
        <v>385372</v>
      </c>
      <c r="J44" s="224">
        <v>1290447</v>
      </c>
      <c r="K44" s="225">
        <v>1382456.2984407677</v>
      </c>
      <c r="L44" s="225">
        <v>108496.06456542089</v>
      </c>
      <c r="M44" s="225"/>
      <c r="N44" s="225"/>
      <c r="O44" s="224"/>
      <c r="P44" s="224">
        <v>711597</v>
      </c>
      <c r="Q44" s="225">
        <v>796228.07155923231</v>
      </c>
      <c r="R44" s="225">
        <v>68144.495434579105</v>
      </c>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0</v>
      </c>
      <c r="AU44" s="226">
        <v>4384898</v>
      </c>
      <c r="AV44" s="226">
        <v>0</v>
      </c>
      <c r="AW44" s="296"/>
    </row>
    <row r="45" spans="1:49" x14ac:dyDescent="0.2">
      <c r="B45" s="245" t="s">
        <v>261</v>
      </c>
      <c r="C45" s="203" t="s">
        <v>19</v>
      </c>
      <c r="D45" s="216">
        <v>358556</v>
      </c>
      <c r="E45" s="217">
        <v>358556.45</v>
      </c>
      <c r="F45" s="217"/>
      <c r="G45" s="217"/>
      <c r="H45" s="217"/>
      <c r="I45" s="216">
        <v>358242</v>
      </c>
      <c r="J45" s="216">
        <v>776896</v>
      </c>
      <c r="K45" s="217">
        <v>816032.97042343812</v>
      </c>
      <c r="L45" s="217">
        <v>48618.715940807953</v>
      </c>
      <c r="M45" s="217"/>
      <c r="N45" s="217"/>
      <c r="O45" s="216"/>
      <c r="P45" s="216">
        <v>415862</v>
      </c>
      <c r="Q45" s="217">
        <v>450612.61957656185</v>
      </c>
      <c r="R45" s="217">
        <v>25269.654059192049</v>
      </c>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0</v>
      </c>
      <c r="AU45" s="220">
        <v>3048568</v>
      </c>
      <c r="AV45" s="220">
        <v>0</v>
      </c>
      <c r="AW45" s="297"/>
    </row>
    <row r="46" spans="1:49" x14ac:dyDescent="0.2">
      <c r="B46" s="245" t="s">
        <v>262</v>
      </c>
      <c r="C46" s="203" t="s">
        <v>20</v>
      </c>
      <c r="D46" s="216">
        <v>203981</v>
      </c>
      <c r="E46" s="217">
        <v>203980.64</v>
      </c>
      <c r="F46" s="217"/>
      <c r="G46" s="217"/>
      <c r="H46" s="217"/>
      <c r="I46" s="216">
        <v>203780</v>
      </c>
      <c r="J46" s="216">
        <v>448910</v>
      </c>
      <c r="K46" s="217">
        <v>493264.72712519002</v>
      </c>
      <c r="L46" s="217">
        <v>50087.582184297062</v>
      </c>
      <c r="M46" s="217"/>
      <c r="N46" s="217"/>
      <c r="O46" s="216"/>
      <c r="P46" s="216">
        <v>257652</v>
      </c>
      <c r="Q46" s="217">
        <v>289424.92287480994</v>
      </c>
      <c r="R46" s="217">
        <v>26040.047815702936</v>
      </c>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3730358</v>
      </c>
      <c r="AV46" s="220">
        <v>0</v>
      </c>
      <c r="AW46" s="297"/>
    </row>
    <row r="47" spans="1:49" x14ac:dyDescent="0.2">
      <c r="B47" s="245" t="s">
        <v>263</v>
      </c>
      <c r="C47" s="203" t="s">
        <v>21</v>
      </c>
      <c r="D47" s="216">
        <v>955346</v>
      </c>
      <c r="E47" s="217">
        <v>955345.56</v>
      </c>
      <c r="F47" s="217"/>
      <c r="G47" s="217"/>
      <c r="H47" s="217"/>
      <c r="I47" s="216">
        <v>953701</v>
      </c>
      <c r="J47" s="216">
        <v>4951690</v>
      </c>
      <c r="K47" s="217">
        <v>4898179.5564305112</v>
      </c>
      <c r="L47" s="217">
        <v>8286.512152612755</v>
      </c>
      <c r="M47" s="217"/>
      <c r="N47" s="217"/>
      <c r="O47" s="216"/>
      <c r="P47" s="216">
        <v>2199083</v>
      </c>
      <c r="Q47" s="217">
        <v>2265445.0535694887</v>
      </c>
      <c r="R47" s="217">
        <v>4565.1178473872451</v>
      </c>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0</v>
      </c>
      <c r="AU47" s="220">
        <v>7894737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-2605.5100000000002</v>
      </c>
      <c r="E49" s="217">
        <v>-2610.5500000000002</v>
      </c>
      <c r="F49" s="217"/>
      <c r="G49" s="217"/>
      <c r="H49" s="217"/>
      <c r="I49" s="216">
        <v>-2484</v>
      </c>
      <c r="J49" s="216">
        <v>-13880.35</v>
      </c>
      <c r="K49" s="217">
        <v>15027.564826736911</v>
      </c>
      <c r="L49" s="217">
        <v>28903.380323323971</v>
      </c>
      <c r="M49" s="217"/>
      <c r="N49" s="217"/>
      <c r="O49" s="216"/>
      <c r="P49" s="216">
        <v>-3641.85</v>
      </c>
      <c r="Q49" s="217">
        <v>-16113.21482673691</v>
      </c>
      <c r="R49" s="217">
        <v>-12471.870323323972</v>
      </c>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90205.4</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16824.060000000001</v>
      </c>
      <c r="AV50" s="220"/>
      <c r="AW50" s="297"/>
    </row>
    <row r="51" spans="2:49" x14ac:dyDescent="0.2">
      <c r="B51" s="239" t="s">
        <v>266</v>
      </c>
      <c r="C51" s="203"/>
      <c r="D51" s="216">
        <v>2731722</v>
      </c>
      <c r="E51" s="217">
        <v>2731722.67</v>
      </c>
      <c r="F51" s="217"/>
      <c r="G51" s="217"/>
      <c r="H51" s="217"/>
      <c r="I51" s="216">
        <v>2728644</v>
      </c>
      <c r="J51" s="216">
        <v>6368698</v>
      </c>
      <c r="K51" s="217">
        <v>6982143.2023634706</v>
      </c>
      <c r="L51" s="217">
        <v>690486.16047694487</v>
      </c>
      <c r="M51" s="217"/>
      <c r="N51" s="217"/>
      <c r="O51" s="216"/>
      <c r="P51" s="216">
        <v>3025191</v>
      </c>
      <c r="Q51" s="217">
        <v>3472213.1676365291</v>
      </c>
      <c r="R51" s="217">
        <v>369981.05952305516</v>
      </c>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0</v>
      </c>
      <c r="AU51" s="220">
        <v>19313738</v>
      </c>
      <c r="AV51" s="220">
        <v>0</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5377</v>
      </c>
      <c r="E56" s="229">
        <v>5377</v>
      </c>
      <c r="F56" s="229"/>
      <c r="G56" s="229"/>
      <c r="H56" s="229"/>
      <c r="I56" s="228">
        <v>5367</v>
      </c>
      <c r="J56" s="228">
        <v>16342</v>
      </c>
      <c r="K56" s="229">
        <v>15642</v>
      </c>
      <c r="L56" s="229">
        <v>0</v>
      </c>
      <c r="M56" s="229"/>
      <c r="N56" s="229"/>
      <c r="O56" s="228"/>
      <c r="P56" s="228">
        <v>7364</v>
      </c>
      <c r="Q56" s="229">
        <v>8063</v>
      </c>
      <c r="R56" s="229">
        <v>0</v>
      </c>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0</v>
      </c>
      <c r="AU56" s="230">
        <v>42640</v>
      </c>
      <c r="AV56" s="230">
        <v>0</v>
      </c>
      <c r="AW56" s="288"/>
    </row>
    <row r="57" spans="2:49" x14ac:dyDescent="0.2">
      <c r="B57" s="245" t="s">
        <v>272</v>
      </c>
      <c r="C57" s="203" t="s">
        <v>25</v>
      </c>
      <c r="D57" s="231">
        <v>8243</v>
      </c>
      <c r="E57" s="232">
        <v>8243</v>
      </c>
      <c r="F57" s="232"/>
      <c r="G57" s="232"/>
      <c r="H57" s="232"/>
      <c r="I57" s="231">
        <v>8233</v>
      </c>
      <c r="J57" s="231">
        <v>31315</v>
      </c>
      <c r="K57" s="232">
        <v>29731</v>
      </c>
      <c r="L57" s="232">
        <v>2606</v>
      </c>
      <c r="M57" s="232"/>
      <c r="N57" s="232"/>
      <c r="O57" s="231"/>
      <c r="P57" s="231">
        <v>14369</v>
      </c>
      <c r="Q57" s="232">
        <v>15953</v>
      </c>
      <c r="R57" s="232">
        <v>1425</v>
      </c>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0</v>
      </c>
      <c r="AU57" s="233">
        <v>42640</v>
      </c>
      <c r="AV57" s="233">
        <v>0</v>
      </c>
      <c r="AW57" s="289"/>
    </row>
    <row r="58" spans="2:49" x14ac:dyDescent="0.2">
      <c r="B58" s="245" t="s">
        <v>273</v>
      </c>
      <c r="C58" s="203" t="s">
        <v>26</v>
      </c>
      <c r="D58" s="309"/>
      <c r="E58" s="310"/>
      <c r="F58" s="310"/>
      <c r="G58" s="310"/>
      <c r="H58" s="310"/>
      <c r="I58" s="309"/>
      <c r="J58" s="231">
        <v>1620</v>
      </c>
      <c r="K58" s="232">
        <v>1620</v>
      </c>
      <c r="L58" s="232"/>
      <c r="M58" s="232"/>
      <c r="N58" s="232"/>
      <c r="O58" s="231"/>
      <c r="P58" s="231">
        <v>82</v>
      </c>
      <c r="Q58" s="232">
        <v>82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5</v>
      </c>
      <c r="AV58" s="233">
        <v>0</v>
      </c>
      <c r="AW58" s="289"/>
    </row>
    <row r="59" spans="2:49" x14ac:dyDescent="0.2">
      <c r="B59" s="245" t="s">
        <v>274</v>
      </c>
      <c r="C59" s="203" t="s">
        <v>27</v>
      </c>
      <c r="D59" s="231">
        <v>113466</v>
      </c>
      <c r="E59" s="232">
        <v>113702</v>
      </c>
      <c r="F59" s="232"/>
      <c r="G59" s="232"/>
      <c r="H59" s="232"/>
      <c r="I59" s="231">
        <v>113577</v>
      </c>
      <c r="J59" s="231">
        <v>357371</v>
      </c>
      <c r="K59" s="232">
        <v>337779</v>
      </c>
      <c r="L59" s="232">
        <v>33940</v>
      </c>
      <c r="M59" s="232"/>
      <c r="N59" s="232"/>
      <c r="O59" s="231"/>
      <c r="P59" s="231">
        <v>167569</v>
      </c>
      <c r="Q59" s="232">
        <v>187073</v>
      </c>
      <c r="R59" s="232">
        <v>17358</v>
      </c>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0</v>
      </c>
      <c r="AU59" s="233">
        <v>494028</v>
      </c>
      <c r="AV59" s="233">
        <v>0</v>
      </c>
      <c r="AW59" s="289"/>
    </row>
    <row r="60" spans="2:49" x14ac:dyDescent="0.2">
      <c r="B60" s="245" t="s">
        <v>275</v>
      </c>
      <c r="C60" s="203"/>
      <c r="D60" s="234">
        <f t="shared" ref="D60:AC60" si="0">D$59/12</f>
        <v>9455.5</v>
      </c>
      <c r="E60" s="235">
        <f t="shared" si="0"/>
        <v>9475.1666666666661</v>
      </c>
      <c r="F60" s="235">
        <f t="shared" si="0"/>
        <v>0</v>
      </c>
      <c r="G60" s="235">
        <f t="shared" si="0"/>
        <v>0</v>
      </c>
      <c r="H60" s="235">
        <f t="shared" si="0"/>
        <v>0</v>
      </c>
      <c r="I60" s="234">
        <f t="shared" si="0"/>
        <v>9464.75</v>
      </c>
      <c r="J60" s="234">
        <f t="shared" si="0"/>
        <v>29780.916666666668</v>
      </c>
      <c r="K60" s="235">
        <f t="shared" si="0"/>
        <v>28148.25</v>
      </c>
      <c r="L60" s="235">
        <f t="shared" si="0"/>
        <v>2828.3333333333335</v>
      </c>
      <c r="M60" s="235">
        <f t="shared" si="0"/>
        <v>0</v>
      </c>
      <c r="N60" s="235">
        <f t="shared" si="0"/>
        <v>0</v>
      </c>
      <c r="O60" s="234">
        <f t="shared" si="0"/>
        <v>0</v>
      </c>
      <c r="P60" s="234">
        <f t="shared" si="0"/>
        <v>13964.083333333334</v>
      </c>
      <c r="Q60" s="235">
        <f t="shared" si="0"/>
        <v>15589.416666666666</v>
      </c>
      <c r="R60" s="235">
        <f t="shared" si="0"/>
        <v>1446.5</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0</v>
      </c>
      <c r="AU60" s="236">
        <f>AU$59/12</f>
        <v>41169</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3489337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691390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34023885</v>
      </c>
      <c r="E5" s="326">
        <v>37209008.306127399</v>
      </c>
      <c r="F5" s="326"/>
      <c r="G5" s="328"/>
      <c r="H5" s="328"/>
      <c r="I5" s="325">
        <v>37118289</v>
      </c>
      <c r="J5" s="325">
        <v>113030046</v>
      </c>
      <c r="K5" s="326">
        <v>127457467.1314542</v>
      </c>
      <c r="L5" s="326">
        <v>13018957.58</v>
      </c>
      <c r="M5" s="326"/>
      <c r="N5" s="326"/>
      <c r="O5" s="325"/>
      <c r="P5" s="325">
        <v>65309619</v>
      </c>
      <c r="Q5" s="326">
        <v>73192176.337718293</v>
      </c>
      <c r="R5" s="326">
        <v>6613894.2599999998</v>
      </c>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0</v>
      </c>
      <c r="AU5" s="327">
        <v>373160399</v>
      </c>
      <c r="AV5" s="369"/>
      <c r="AW5" s="373"/>
    </row>
    <row r="6" spans="2:49" x14ac:dyDescent="0.2">
      <c r="B6" s="343" t="s">
        <v>278</v>
      </c>
      <c r="C6" s="331" t="s">
        <v>8</v>
      </c>
      <c r="D6" s="318">
        <v>0</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-1003877</v>
      </c>
      <c r="E9" s="362"/>
      <c r="F9" s="362"/>
      <c r="G9" s="362"/>
      <c r="H9" s="362"/>
      <c r="I9" s="364"/>
      <c r="J9" s="318">
        <v>883515</v>
      </c>
      <c r="K9" s="362"/>
      <c r="L9" s="362"/>
      <c r="M9" s="362"/>
      <c r="N9" s="362"/>
      <c r="O9" s="364"/>
      <c r="P9" s="318">
        <v>21895</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-3606218</v>
      </c>
      <c r="AV9" s="368"/>
      <c r="AW9" s="374"/>
    </row>
    <row r="10" spans="2:49" ht="25.5" x14ac:dyDescent="0.2">
      <c r="B10" s="345" t="s">
        <v>83</v>
      </c>
      <c r="C10" s="331"/>
      <c r="D10" s="365"/>
      <c r="E10" s="319">
        <v>0</v>
      </c>
      <c r="F10" s="319"/>
      <c r="G10" s="319"/>
      <c r="H10" s="319"/>
      <c r="I10" s="318">
        <v>0</v>
      </c>
      <c r="J10" s="365"/>
      <c r="K10" s="319">
        <v>0</v>
      </c>
      <c r="L10" s="319">
        <v>0</v>
      </c>
      <c r="M10" s="319"/>
      <c r="N10" s="319"/>
      <c r="O10" s="318"/>
      <c r="P10" s="365"/>
      <c r="Q10" s="319">
        <v>21895</v>
      </c>
      <c r="R10" s="319">
        <v>0</v>
      </c>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-11374750</v>
      </c>
      <c r="E11" s="319"/>
      <c r="F11" s="319"/>
      <c r="G11" s="319"/>
      <c r="H11" s="319"/>
      <c r="I11" s="318">
        <v>0</v>
      </c>
      <c r="J11" s="318">
        <v>33559</v>
      </c>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201332</v>
      </c>
      <c r="AV11" s="368"/>
      <c r="AW11" s="374"/>
    </row>
    <row r="12" spans="2:49" ht="15" customHeight="1" x14ac:dyDescent="0.2">
      <c r="B12" s="343" t="s">
        <v>282</v>
      </c>
      <c r="C12" s="331" t="s">
        <v>44</v>
      </c>
      <c r="D12" s="318">
        <v>-5137169</v>
      </c>
      <c r="E12" s="363"/>
      <c r="F12" s="363"/>
      <c r="G12" s="363"/>
      <c r="H12" s="363"/>
      <c r="I12" s="365"/>
      <c r="J12" s="318">
        <v>76257</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-3632583</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5152813.04</v>
      </c>
      <c r="F15" s="319"/>
      <c r="G15" s="319"/>
      <c r="H15" s="319"/>
      <c r="I15" s="318">
        <v>5152813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-1928407.65</v>
      </c>
      <c r="F16" s="319"/>
      <c r="G16" s="319"/>
      <c r="H16" s="319"/>
      <c r="I16" s="318">
        <v>-1928408</v>
      </c>
      <c r="J16" s="318"/>
      <c r="K16" s="319">
        <v>-2483141.65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15635241.109999999</v>
      </c>
      <c r="F20" s="319"/>
      <c r="G20" s="319"/>
      <c r="H20" s="319"/>
      <c r="I20" s="318">
        <v>15635241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40377675</v>
      </c>
      <c r="E23" s="362"/>
      <c r="F23" s="362"/>
      <c r="G23" s="362"/>
      <c r="H23" s="362"/>
      <c r="I23" s="364"/>
      <c r="J23" s="318">
        <v>86403844</v>
      </c>
      <c r="K23" s="362"/>
      <c r="L23" s="362"/>
      <c r="M23" s="362"/>
      <c r="N23" s="362"/>
      <c r="O23" s="364"/>
      <c r="P23" s="318">
        <v>56848546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16481</v>
      </c>
      <c r="AU23" s="321">
        <v>353291019</v>
      </c>
      <c r="AV23" s="368"/>
      <c r="AW23" s="374"/>
    </row>
    <row r="24" spans="2:49" ht="28.5" customHeight="1" x14ac:dyDescent="0.2">
      <c r="B24" s="345" t="s">
        <v>114</v>
      </c>
      <c r="C24" s="331"/>
      <c r="D24" s="365"/>
      <c r="E24" s="319">
        <v>41173835.509999998</v>
      </c>
      <c r="F24" s="319"/>
      <c r="G24" s="319"/>
      <c r="H24" s="319"/>
      <c r="I24" s="318">
        <v>41107687</v>
      </c>
      <c r="J24" s="365"/>
      <c r="K24" s="319">
        <v>96320270.099999994</v>
      </c>
      <c r="L24" s="319">
        <v>8679306.6699999999</v>
      </c>
      <c r="M24" s="319"/>
      <c r="N24" s="319"/>
      <c r="O24" s="318"/>
      <c r="P24" s="365"/>
      <c r="Q24" s="319">
        <v>64229374.539999999</v>
      </c>
      <c r="R24" s="319">
        <v>6160000.8700000001</v>
      </c>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5400958</v>
      </c>
      <c r="E26" s="362"/>
      <c r="F26" s="362"/>
      <c r="G26" s="362"/>
      <c r="H26" s="362"/>
      <c r="I26" s="364"/>
      <c r="J26" s="318">
        <v>8847861</v>
      </c>
      <c r="K26" s="362"/>
      <c r="L26" s="362"/>
      <c r="M26" s="362"/>
      <c r="N26" s="362"/>
      <c r="O26" s="364"/>
      <c r="P26" s="318">
        <v>5979512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0</v>
      </c>
      <c r="AU26" s="321">
        <v>36559240</v>
      </c>
      <c r="AV26" s="368"/>
      <c r="AW26" s="374"/>
    </row>
    <row r="27" spans="2:49" s="5" customFormat="1" ht="25.5" x14ac:dyDescent="0.2">
      <c r="B27" s="345" t="s">
        <v>85</v>
      </c>
      <c r="C27" s="331"/>
      <c r="D27" s="365"/>
      <c r="E27" s="319">
        <v>471221.34419999999</v>
      </c>
      <c r="F27" s="319"/>
      <c r="G27" s="319"/>
      <c r="H27" s="319"/>
      <c r="I27" s="318">
        <v>465188</v>
      </c>
      <c r="J27" s="365"/>
      <c r="K27" s="319">
        <v>1169021.4544518369</v>
      </c>
      <c r="L27" s="319">
        <v>176465.1826</v>
      </c>
      <c r="M27" s="319"/>
      <c r="N27" s="319"/>
      <c r="O27" s="318"/>
      <c r="P27" s="365"/>
      <c r="Q27" s="319">
        <v>589194.79853355989</v>
      </c>
      <c r="R27" s="319">
        <v>146996.43969999999</v>
      </c>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8170751</v>
      </c>
      <c r="E28" s="363"/>
      <c r="F28" s="363"/>
      <c r="G28" s="363"/>
      <c r="H28" s="363"/>
      <c r="I28" s="365"/>
      <c r="J28" s="318">
        <v>7046396</v>
      </c>
      <c r="K28" s="363"/>
      <c r="L28" s="363"/>
      <c r="M28" s="363"/>
      <c r="N28" s="363"/>
      <c r="O28" s="365"/>
      <c r="P28" s="318">
        <v>6045364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16481</v>
      </c>
      <c r="AU28" s="321">
        <v>25047916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183795</v>
      </c>
      <c r="K30" s="362"/>
      <c r="L30" s="362"/>
      <c r="M30" s="362"/>
      <c r="N30" s="362"/>
      <c r="O30" s="364"/>
      <c r="P30" s="318">
        <v>4205</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135775.67999999999</v>
      </c>
      <c r="L31" s="319"/>
      <c r="M31" s="319"/>
      <c r="N31" s="319"/>
      <c r="O31" s="318"/>
      <c r="P31" s="365"/>
      <c r="Q31" s="319">
        <v>-39775.68</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48019</v>
      </c>
      <c r="K32" s="363"/>
      <c r="L32" s="363"/>
      <c r="M32" s="363"/>
      <c r="N32" s="363"/>
      <c r="O32" s="365"/>
      <c r="P32" s="318">
        <v>43981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v>0</v>
      </c>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-1003877</v>
      </c>
      <c r="E38" s="362"/>
      <c r="F38" s="362"/>
      <c r="G38" s="362"/>
      <c r="H38" s="362"/>
      <c r="I38" s="364"/>
      <c r="J38" s="318">
        <v>883515</v>
      </c>
      <c r="K38" s="362"/>
      <c r="L38" s="362"/>
      <c r="M38" s="362"/>
      <c r="N38" s="362"/>
      <c r="O38" s="364"/>
      <c r="P38" s="318">
        <v>21895</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-3606218</v>
      </c>
      <c r="AV38" s="368"/>
      <c r="AW38" s="374"/>
    </row>
    <row r="39" spans="2:49" ht="28.15" customHeight="1" x14ac:dyDescent="0.2">
      <c r="B39" s="345" t="s">
        <v>86</v>
      </c>
      <c r="C39" s="331"/>
      <c r="D39" s="365"/>
      <c r="E39" s="319">
        <v>0</v>
      </c>
      <c r="F39" s="319"/>
      <c r="G39" s="319"/>
      <c r="H39" s="319"/>
      <c r="I39" s="318">
        <v>0</v>
      </c>
      <c r="J39" s="365"/>
      <c r="K39" s="319">
        <v>0</v>
      </c>
      <c r="L39" s="319">
        <v>0</v>
      </c>
      <c r="M39" s="319"/>
      <c r="N39" s="319"/>
      <c r="O39" s="318"/>
      <c r="P39" s="365"/>
      <c r="Q39" s="319">
        <v>21895</v>
      </c>
      <c r="R39" s="319">
        <v>0</v>
      </c>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-11374750</v>
      </c>
      <c r="E41" s="362"/>
      <c r="F41" s="362"/>
      <c r="G41" s="362"/>
      <c r="H41" s="362"/>
      <c r="I41" s="364"/>
      <c r="J41" s="318">
        <v>33559</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201332</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-5137169</v>
      </c>
      <c r="E43" s="363"/>
      <c r="F43" s="363"/>
      <c r="G43" s="363"/>
      <c r="H43" s="363"/>
      <c r="I43" s="365"/>
      <c r="J43" s="318">
        <v>76257</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-3632583</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13033</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250525</v>
      </c>
      <c r="E49" s="319">
        <v>788306.39</v>
      </c>
      <c r="F49" s="319"/>
      <c r="G49" s="319"/>
      <c r="H49" s="319"/>
      <c r="I49" s="318">
        <v>788307</v>
      </c>
      <c r="J49" s="318">
        <v>1140123</v>
      </c>
      <c r="K49" s="319">
        <v>2859961.0244833627</v>
      </c>
      <c r="L49" s="319"/>
      <c r="M49" s="319"/>
      <c r="N49" s="319"/>
      <c r="O49" s="318"/>
      <c r="P49" s="318">
        <v>269853</v>
      </c>
      <c r="Q49" s="319">
        <v>1598152.7904373461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10268295</v>
      </c>
      <c r="AV49" s="368"/>
      <c r="AW49" s="374"/>
    </row>
    <row r="50" spans="2:49" x14ac:dyDescent="0.2">
      <c r="B50" s="343" t="s">
        <v>119</v>
      </c>
      <c r="C50" s="331" t="s">
        <v>34</v>
      </c>
      <c r="D50" s="318">
        <v>64886</v>
      </c>
      <c r="E50" s="363"/>
      <c r="F50" s="363"/>
      <c r="G50" s="363"/>
      <c r="H50" s="363"/>
      <c r="I50" s="365"/>
      <c r="J50" s="318">
        <v>632208</v>
      </c>
      <c r="K50" s="363"/>
      <c r="L50" s="363"/>
      <c r="M50" s="363"/>
      <c r="N50" s="363"/>
      <c r="O50" s="365"/>
      <c r="P50" s="318">
        <v>270944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1966269</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9212.4244725422104</v>
      </c>
      <c r="L53" s="319">
        <v>904866.64246670424</v>
      </c>
      <c r="M53" s="319"/>
      <c r="N53" s="319"/>
      <c r="O53" s="318"/>
      <c r="P53" s="318">
        <v>0</v>
      </c>
      <c r="Q53" s="319">
        <v>31771.834741466071</v>
      </c>
      <c r="R53" s="319">
        <v>-928109.70918427908</v>
      </c>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30180785</v>
      </c>
      <c r="E54" s="323">
        <f>E24+E27+E31+E35-E36+E39+E42+E45+E46-E49+E51+E52+E53</f>
        <v>40856750.464199997</v>
      </c>
      <c r="F54" s="323">
        <f>F24+F27+F31+F35-F36+F39+F42+F45+F46-F49+F51+F52+F53</f>
        <v>0</v>
      </c>
      <c r="G54" s="323">
        <f>G24+G27+G31+G35-G36+G39+G42+G45+G46-G49+G51+G52+G53</f>
        <v>0</v>
      </c>
      <c r="H54" s="323">
        <f>H24+H27+H31+H35-H36+H39+H42+H45+H46-H49+H51+H52+H53</f>
        <v>0</v>
      </c>
      <c r="I54" s="322">
        <f>I24+I27+I31+I35-I36+I39+I42+I45+I46-I49+I51+I52+I53</f>
        <v>40784568</v>
      </c>
      <c r="J54" s="322">
        <f>J23+J26-J28+J30-J32+J34-J36+J38+J41-J43+J45+J46-J47-J49+J50+J51+J52+J53</f>
        <v>88673987</v>
      </c>
      <c r="K54" s="323">
        <f>K24+K27+K31+K35-K36+K39+K42+K45+K46-K49+K51+K52+K53</f>
        <v>94774318.634441018</v>
      </c>
      <c r="L54" s="323">
        <f>L24+L27+L31+L35-L36+L39+L42+L45+L46-L49+L51+L52+L53</f>
        <v>9760638.4950667042</v>
      </c>
      <c r="M54" s="323">
        <f>M24+M27+M31+M35-M36+M39+M42+M45+M46-M49+M51+M52+M53</f>
        <v>0</v>
      </c>
      <c r="N54" s="323">
        <f>N24+N27+N31+N35-N36+N39+N42+N45+N46-N49+N51+N52+N53</f>
        <v>0</v>
      </c>
      <c r="O54" s="322">
        <f>O24+O27+O31+O35-O36+O39+O42+O45+O46-O49+O51+O52+O53</f>
        <v>0</v>
      </c>
      <c r="P54" s="322">
        <f>P23+P26-P28+P30-P32+P34-P36+P38+P41-P43+P45+P46-P47-P49+P50+P51+P52+P53</f>
        <v>56765904</v>
      </c>
      <c r="Q54" s="323">
        <f>Q24+Q27+Q31+Q35-Q36+Q39+Q42+Q45+Q46-Q49+Q51+Q52+Q53</f>
        <v>63234307.702837676</v>
      </c>
      <c r="R54" s="323">
        <f>R24+R27+R31+R35-R36+R39+R42+R45+R46-R49+R51+R52+R53</f>
        <v>5378887.6005157214</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0</v>
      </c>
      <c r="AU54" s="324">
        <f>AU23+AU26-AU28+AU30-AU32+AU34-AU36+AU38+AU41-AU43+AU45+AU46-AU47-AU49+AU50+AU51+AU52+AU53</f>
        <v>356741047</v>
      </c>
      <c r="AV54" s="368"/>
      <c r="AW54" s="374"/>
    </row>
    <row r="55" spans="2:49" ht="25.5" x14ac:dyDescent="0.2">
      <c r="B55" s="348" t="s">
        <v>493</v>
      </c>
      <c r="C55" s="335" t="s">
        <v>28</v>
      </c>
      <c r="D55" s="322">
        <f t="shared" ref="D55:AC55" si="0">MIN(MAX(0,D56),MAX(0,D57))</f>
        <v>35442</v>
      </c>
      <c r="E55" s="323">
        <f t="shared" si="0"/>
        <v>35442.26</v>
      </c>
      <c r="F55" s="323">
        <f t="shared" si="0"/>
        <v>0</v>
      </c>
      <c r="G55" s="323">
        <f t="shared" si="0"/>
        <v>0</v>
      </c>
      <c r="H55" s="323">
        <f t="shared" si="0"/>
        <v>0</v>
      </c>
      <c r="I55" s="322">
        <f t="shared" si="0"/>
        <v>35442</v>
      </c>
      <c r="J55" s="322">
        <f t="shared" si="0"/>
        <v>167102</v>
      </c>
      <c r="K55" s="323">
        <f t="shared" si="0"/>
        <v>183955.02</v>
      </c>
      <c r="L55" s="323">
        <f t="shared" si="0"/>
        <v>16853.52</v>
      </c>
      <c r="M55" s="323">
        <f t="shared" si="0"/>
        <v>0</v>
      </c>
      <c r="N55" s="323">
        <f t="shared" si="0"/>
        <v>0</v>
      </c>
      <c r="O55" s="322">
        <f t="shared" si="0"/>
        <v>0</v>
      </c>
      <c r="P55" s="322">
        <f t="shared" si="0"/>
        <v>96477.77</v>
      </c>
      <c r="Q55" s="323">
        <f t="shared" si="0"/>
        <v>108462.96152515525</v>
      </c>
      <c r="R55" s="323">
        <f t="shared" si="0"/>
        <v>9819.8226818847361</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60959.199999999997</v>
      </c>
      <c r="E56" s="319">
        <v>60959.199999999997</v>
      </c>
      <c r="F56" s="319"/>
      <c r="G56" s="319"/>
      <c r="H56" s="319"/>
      <c r="I56" s="318">
        <v>60883</v>
      </c>
      <c r="J56" s="318">
        <v>169747.44</v>
      </c>
      <c r="K56" s="319">
        <v>186392.01847484475</v>
      </c>
      <c r="L56" s="319">
        <v>18809.947318115264</v>
      </c>
      <c r="M56" s="319"/>
      <c r="N56" s="319"/>
      <c r="O56" s="318"/>
      <c r="P56" s="318">
        <v>96477.77</v>
      </c>
      <c r="Q56" s="319">
        <v>108462.96152515525</v>
      </c>
      <c r="R56" s="319">
        <v>9819.8226818847361</v>
      </c>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35442</v>
      </c>
      <c r="E57" s="319">
        <v>35442.26</v>
      </c>
      <c r="F57" s="319"/>
      <c r="G57" s="319"/>
      <c r="H57" s="319"/>
      <c r="I57" s="318">
        <v>35442</v>
      </c>
      <c r="J57" s="318">
        <v>167102</v>
      </c>
      <c r="K57" s="319">
        <v>183955.02</v>
      </c>
      <c r="L57" s="319">
        <v>16853.52</v>
      </c>
      <c r="M57" s="319"/>
      <c r="N57" s="319"/>
      <c r="O57" s="318"/>
      <c r="P57" s="318">
        <v>101524</v>
      </c>
      <c r="Q57" s="319">
        <v>111350.88</v>
      </c>
      <c r="R57" s="319">
        <v>9827.1299999999992</v>
      </c>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1369858</v>
      </c>
      <c r="AV57" s="321">
        <v>0</v>
      </c>
      <c r="AW57" s="374"/>
    </row>
    <row r="58" spans="2:49" s="5" customFormat="1" x14ac:dyDescent="0.2">
      <c r="B58" s="351" t="s">
        <v>494</v>
      </c>
      <c r="C58" s="352"/>
      <c r="D58" s="353"/>
      <c r="E58" s="354">
        <v>2822419.96</v>
      </c>
      <c r="F58" s="354"/>
      <c r="G58" s="354"/>
      <c r="H58" s="354"/>
      <c r="I58" s="353">
        <v>3557155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21" activePane="bottomRight" state="frozen"/>
      <selection activeCell="B1" sqref="B1"/>
      <selection pane="topRight" activeCell="B1" sqref="B1"/>
      <selection pane="bottomLeft" activeCell="B1" sqref="B1"/>
      <selection pane="bottomRight" activeCell="G36" sqref="G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911657.91</v>
      </c>
      <c r="D5" s="403">
        <v>47430422.32</v>
      </c>
      <c r="E5" s="454"/>
      <c r="F5" s="454"/>
      <c r="G5" s="448"/>
      <c r="H5" s="402">
        <v>77147086.719999999</v>
      </c>
      <c r="I5" s="403">
        <v>85361329.510000005</v>
      </c>
      <c r="J5" s="454"/>
      <c r="K5" s="454"/>
      <c r="L5" s="448"/>
      <c r="M5" s="402">
        <v>78871537.849999994</v>
      </c>
      <c r="N5" s="403">
        <v>79663469.409999996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911293.99239999999</v>
      </c>
      <c r="D6" s="398">
        <v>46188700.4476</v>
      </c>
      <c r="E6" s="400">
        <f>SUM('Pt 1 Summary of Data'!E$12,'Pt 1 Summary of Data'!E$22)+SUM('Pt 1 Summary of Data'!G$12,'Pt 1 Summary of Data'!G$22)-SUM('Pt 1 Summary of Data'!H$12,'Pt 1 Summary of Data'!H$22)</f>
        <v>40892192.724199995</v>
      </c>
      <c r="F6" s="400">
        <f t="shared" ref="F6:F11" si="0">SUM(C6:E6)</f>
        <v>87992187.164199993</v>
      </c>
      <c r="G6" s="401">
        <f>SUM('Pt 1 Summary of Data'!I$12,'Pt 1 Summary of Data'!I$22)</f>
        <v>40820010</v>
      </c>
      <c r="H6" s="397">
        <v>77015313.656079575</v>
      </c>
      <c r="I6" s="398">
        <v>84374551.130959421</v>
      </c>
      <c r="J6" s="400">
        <f>SUM('Pt 1 Summary of Data'!K$12,'Pt 1 Summary of Data'!K$22)+SUM('Pt 1 Summary of Data'!M$12,'Pt 1 Summary of Data'!M$22)-SUM('Pt 1 Summary of Data'!N$12,'Pt 1 Summary of Data'!N$22)</f>
        <v>94958273.654441014</v>
      </c>
      <c r="K6" s="400">
        <f>SUM(H6:J6)</f>
        <v>256348138.44147998</v>
      </c>
      <c r="L6" s="401">
        <f>SUM('Pt 1 Summary of Data'!O$12,'Pt 1 Summary of Data'!O$22)</f>
        <v>0</v>
      </c>
      <c r="M6" s="397">
        <v>78971162.799468845</v>
      </c>
      <c r="N6" s="398">
        <v>79002452.873568609</v>
      </c>
      <c r="O6" s="400">
        <f>SUM('Pt 1 Summary of Data'!Q$12,'Pt 1 Summary of Data'!Q$22)+SUM('Pt 1 Summary of Data'!S$12,'Pt 1 Summary of Data'!S$22)-SUM('Pt 1 Summary of Data'!T$12,'Pt 1 Summary of Data'!T$22)</f>
        <v>63342770.664362833</v>
      </c>
      <c r="P6" s="400">
        <f>SUM(M6:O6)</f>
        <v>221316386.33740032</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3302.95</v>
      </c>
      <c r="D7" s="398">
        <v>178011.96</v>
      </c>
      <c r="E7" s="400">
        <f>SUM('Pt 1 Summary of Data'!E$37:E$41)+SUM('Pt 1 Summary of Data'!G$37:G$41)-SUM('Pt 1 Summary of Data'!H$37:H$41)+MAX(0,MIN('Pt 1 Summary of Data'!E$42+'Pt 1 Summary of Data'!G$42-'Pt 1 Summary of Data'!H$42,0.3%*('Pt 1 Summary of Data'!E$5+'Pt 1 Summary of Data'!G$5-'Pt 1 Summary of Data'!H$5-SUM(E$9:E$11))))</f>
        <v>202206.57</v>
      </c>
      <c r="F7" s="400">
        <f t="shared" si="0"/>
        <v>383521.48</v>
      </c>
      <c r="G7" s="401">
        <f>SUM('Pt 1 Summary of Data'!I$37:I$41)+MAX(0,MIN(VALUE('Pt 1 Summary of Data'!I$42),0.3%*('Pt 1 Summary of Data'!I$5-SUM(G$9:G$10))))</f>
        <v>201628</v>
      </c>
      <c r="H7" s="397">
        <v>2653518.42</v>
      </c>
      <c r="I7" s="398">
        <v>2402319.1</v>
      </c>
      <c r="J7" s="400">
        <f>SUM('Pt 1 Summary of Data'!K$37:K$41)+SUM('Pt 1 Summary of Data'!M$37:M$41)-SUM('Pt 1 Summary of Data'!N$37:N$41)+MAX(0,MIN('Pt 1 Summary of Data'!K$42+'Pt 1 Summary of Data'!M$42-'Pt 1 Summary of Data'!N$42,0.3%*('Pt 1 Summary of Data'!K$5+'Pt 1 Summary of Data'!M$5-'Pt 1 Summary of Data'!N$5-SUM(J$10:J$11))))</f>
        <v>1963512.215570302</v>
      </c>
      <c r="K7" s="400">
        <f>SUM(H7:J7)</f>
        <v>7019349.7355703013</v>
      </c>
      <c r="L7" s="401">
        <f>SUM('Pt 1 Summary of Data'!O$37:O$41)+MAX(0,MIN(VALUE('Pt 1 Summary of Data'!O$42),0.3%*('Pt 1 Summary of Data'!O$5-L$10)))</f>
        <v>0</v>
      </c>
      <c r="M7" s="397">
        <v>1999600.54</v>
      </c>
      <c r="N7" s="398">
        <v>1723760.58</v>
      </c>
      <c r="O7" s="400">
        <f>SUM('Pt 1 Summary of Data'!Q$37:Q$41)+SUM('Pt 1 Summary of Data'!S$37:S$41)-SUM('Pt 1 Summary of Data'!T$37:T$41)+MAX(0,MIN('Pt 1 Summary of Data'!Q$42+'Pt 1 Summary of Data'!S$42-'Pt 1 Summary of Data'!T$42,0.3%*('Pt 1 Summary of Data'!Q$5+'Pt 1 Summary of Data'!S$5-'Pt 1 Summary of Data'!T$5)))</f>
        <v>1361143.6844296982</v>
      </c>
      <c r="P7" s="400">
        <f>SUM(M7:O7)</f>
        <v>5084504.8044296987</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3624439.24</v>
      </c>
      <c r="E8" s="400">
        <f>'Pt 2 Premium and Claims'!E58+'Pt 2 Premium and Claims'!G58-'Pt 2 Premium and Claims'!H58</f>
        <v>2822419.96</v>
      </c>
      <c r="F8" s="400">
        <f t="shared" si="0"/>
        <v>6446859.2000000002</v>
      </c>
      <c r="G8" s="401">
        <f>'Pt 2 Premium and Claims'!I58</f>
        <v>3557155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8894210.0299999993</v>
      </c>
      <c r="E9" s="400">
        <f>'Pt 2 Premium and Claims'!E$15+'Pt 2 Premium and Claims'!G$15-'Pt 2 Premium and Claims'!H$15</f>
        <v>5152813.04</v>
      </c>
      <c r="F9" s="400">
        <f t="shared" si="0"/>
        <v>14047023.07</v>
      </c>
      <c r="G9" s="401">
        <f>'Pt 2 Premium and Claims'!I$15</f>
        <v>5152813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-6379256.8499999996</v>
      </c>
      <c r="E10" s="400">
        <f>'Pt 2 Premium and Claims'!E$16+'Pt 2 Premium and Claims'!G$16-'Pt 2 Premium and Claims'!H$16</f>
        <v>-1928407.65</v>
      </c>
      <c r="F10" s="400">
        <f t="shared" si="0"/>
        <v>-8307664.5</v>
      </c>
      <c r="G10" s="401">
        <f>'Pt 2 Premium and Claims'!I$16</f>
        <v>-1928408</v>
      </c>
      <c r="H10" s="443"/>
      <c r="I10" s="398">
        <v>683165.75</v>
      </c>
      <c r="J10" s="400">
        <f>'Pt 2 Premium and Claims'!K$16+'Pt 2 Premium and Claims'!M$16-'Pt 2 Premium and Claims'!N$16</f>
        <v>-2483141.65</v>
      </c>
      <c r="K10" s="400">
        <f>SUM(H10:J10)</f>
        <v>-1799975.9</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1125509.8400000001</v>
      </c>
      <c r="E11" s="400">
        <f>'Pt 2 Premium and Claims'!E$17+'Pt 2 Premium and Claims'!G$17-'Pt 2 Premium and Claims'!H$17</f>
        <v>0</v>
      </c>
      <c r="F11" s="400">
        <f t="shared" si="0"/>
        <v>1125509.8400000001</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914596.94239999994</v>
      </c>
      <c r="D12" s="400">
        <f>SUM(D$6:D$7) - SUM(D$8:D$11)+IF(AND(OR('Company Information'!$C$12="District of Columbia",'Company Information'!$C$12="Massachusetts",'Company Information'!$C$12="Vermont"),SUM($C$6:$F$11,$C$15:$F$16,$C$38:$D$38)&lt;&gt;0),SUM(I$6:I$7) - SUM(I$10:I$11),0)</f>
        <v>39101810.147600003</v>
      </c>
      <c r="E12" s="400">
        <f>SUM(E$6:E$7)-SUM(E$8:E$11)+IF(AND(OR('Company Information'!$C$12="District of Columbia",'Company Information'!$C$12="Massachusetts",'Company Information'!$C$12="Vermont"),SUM($C$6:$F$11,$C$15:$F$16,$C$38:$D$38)&lt;&gt;0),SUM(J$6:J$7)-SUM(J$10:J$11),0)</f>
        <v>35047573.944199994</v>
      </c>
      <c r="F12" s="400">
        <f>IFERROR(SUM(C$12:E$12)+C$17*MAX(0,E$50-C$50)+D$17*MAX(0,E$50-D$50),0)</f>
        <v>75063981.034199998</v>
      </c>
      <c r="G12" s="447"/>
      <c r="H12" s="399">
        <f>SUM(H$6:H$7)+IF(AND(OR('Company Information'!$C$12="District of Columbia",'Company Information'!$C$12="Massachusetts",'Company Information'!$C$12="Vermont"),SUM($H$6:$K$11,$H$15:$K$16,$H$38:$I$38)&lt;&gt;0),SUM(C$6:C$7),0)</f>
        <v>79668832.076079577</v>
      </c>
      <c r="I12" s="400">
        <f>SUM(I$6:I$7) - SUM(I$10:I$11)+IF(AND(OR('Company Information'!$C$12="District of Columbia",'Company Information'!$C$12="Massachusetts",'Company Information'!$C$12="Vermont"),SUM($H$6:$K$11,$H$15:$K$16,$H$38:$I$38)&lt;&gt;0),SUM(D$6:D$7) - SUM(D$8:D$11),0)</f>
        <v>86093704.480959415</v>
      </c>
      <c r="J12" s="400">
        <f>SUM(J$6:J$7)-SUM(J$10:J$11)+IF(AND(OR('Company Information'!$C$12="District of Columbia",'Company Information'!$C$12="Massachusetts",'Company Information'!$C$12="Vermont"),SUM($H$6:$K$11,$H$15:$K$16,$H$38:$I$38)&lt;&gt;0),SUM(E$6:E$7)-SUM(E$8:E$11),0)</f>
        <v>99404927.520011321</v>
      </c>
      <c r="K12" s="400">
        <f>IFERROR(SUM(H$12:J$12)+H$17*MAX(0,J$50-H$50)+I$17*MAX(0,J$50-I$50),0)</f>
        <v>265167464.07705033</v>
      </c>
      <c r="L12" s="447"/>
      <c r="M12" s="399">
        <f>SUM(M$6:M$7)</f>
        <v>80970763.339468852</v>
      </c>
      <c r="N12" s="400">
        <f>SUM(N$6:N$7)</f>
        <v>80726213.453568608</v>
      </c>
      <c r="O12" s="400">
        <f>SUM(O$6:O$7)</f>
        <v>64703914.348792531</v>
      </c>
      <c r="P12" s="400">
        <f>SUM(M$12:O$12)+M$17*MAX(0,O$50-M$50)+N$17*MAX(0,O$50-N$50)</f>
        <v>226400891.14183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308615.21999999997</v>
      </c>
      <c r="D15" s="403">
        <v>38643605.759999998</v>
      </c>
      <c r="E15" s="395">
        <f>SUM('Pt 1 Summary of Data'!E$5:E$7)+SUM('Pt 1 Summary of Data'!G$5:G$7)-SUM('Pt 1 Summary of Data'!H$5:H$7)-SUM(E$9:E$11)</f>
        <v>37209008.306127399</v>
      </c>
      <c r="F15" s="395">
        <f>SUM(C15:E15)</f>
        <v>76161229.286127388</v>
      </c>
      <c r="G15" s="396">
        <f>SUM('Pt 1 Summary of Data'!I$5:I$7)-SUM(G$9:G$10)</f>
        <v>37118289</v>
      </c>
      <c r="H15" s="402">
        <v>108313955.05</v>
      </c>
      <c r="I15" s="403">
        <v>117136825.20999999</v>
      </c>
      <c r="J15" s="395">
        <f>SUM('Pt 1 Summary of Data'!K$5:K$7)+SUM('Pt 1 Summary of Data'!M$5:M$7)-SUM('Pt 1 Summary of Data'!N$5:N$7)-SUM(J$10:J$11)</f>
        <v>127457091.12145419</v>
      </c>
      <c r="K15" s="395">
        <f>SUM(H15:J15)</f>
        <v>352907871.38145417</v>
      </c>
      <c r="L15" s="396">
        <f>SUM('Pt 1 Summary of Data'!O$5:O$7)-L$10</f>
        <v>0</v>
      </c>
      <c r="M15" s="402">
        <v>96840874.569999993</v>
      </c>
      <c r="N15" s="403">
        <v>91588602.629999995</v>
      </c>
      <c r="O15" s="395">
        <f>SUM('Pt 1 Summary of Data'!Q$5:Q$7)+SUM('Pt 1 Summary of Data'!S$5:S$7)-SUM('Pt 1 Summary of Data'!T$5:T$7)+N$56</f>
        <v>73191922.317718297</v>
      </c>
      <c r="P15" s="395">
        <f>SUM(M15:O15)</f>
        <v>261621399.51771829</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-231074</v>
      </c>
      <c r="D16" s="398">
        <v>2578309.5499999998</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2964886.7047812254</v>
      </c>
      <c r="F16" s="400">
        <f>SUM(C16:E16)</f>
        <v>5312122.2547812257</v>
      </c>
      <c r="G16" s="401">
        <f>SUM('Pt 1 Summary of Data'!I$25:I$28,'Pt 1 Summary of Data'!I$30,'Pt 1 Summary of Data'!I$34:I$35)+IF('Company Information'!$C$15="No",IF(MAX('Pt 1 Summary of Data'!I$31:I$32)=0,MIN('Pt 1 Summary of Data'!I$31:I$32),MAX('Pt 1 Summary of Data'!I$31:I$32)),SUM('Pt 1 Summary of Data'!I$31:I$32))</f>
        <v>274025</v>
      </c>
      <c r="H16" s="397">
        <v>5998833.8899999997</v>
      </c>
      <c r="I16" s="398">
        <v>6697443.0999999996</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7928904.4114152892</v>
      </c>
      <c r="K16" s="400">
        <f>SUM(H16:J16)</f>
        <v>20625181.401415288</v>
      </c>
      <c r="L16" s="401">
        <f>SUM('Pt 1 Summary of Data'!O$25:O$28,'Pt 1 Summary of Data'!O$30,'Pt 1 Summary of Data'!O$34:O$35)+IF('Company Information'!$C$15="No",IF(MAX('Pt 1 Summary of Data'!O$31:O$32)=0,MIN('Pt 1 Summary of Data'!O$31:O$32),MAX('Pt 1 Summary of Data'!O$31:O$32)),SUM('Pt 1 Summary of Data'!O$31:O$32))</f>
        <v>0</v>
      </c>
      <c r="M16" s="397">
        <v>2416087.3199999998</v>
      </c>
      <c r="N16" s="398">
        <v>2306131.09</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2562991.3704969971</v>
      </c>
      <c r="P16" s="400">
        <f>SUM(M16:O16)</f>
        <v>7285209.7804969978</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539689.22</v>
      </c>
      <c r="D17" s="400">
        <f>D$15-D$16+IF(AND(OR('Company Information'!$C$12="District of Columbia",'Company Information'!$C$12="Massachusetts",'Company Information'!$C$12="Vermont"),SUM($C$6:$F$11,$C$15:$F$16,$C$38:$D$38)&lt;&gt;0),I$15-I$16,0)</f>
        <v>36065296.210000001</v>
      </c>
      <c r="E17" s="400">
        <f>E$15-E$16+IF(AND(OR('Company Information'!$C$12="District of Columbia",'Company Information'!$C$12="Massachusetts",'Company Information'!$C$12="Vermont"),SUM($C$6:$F$11,$C$15:$F$16,$C$38:$D$38)&lt;&gt;0),J$15-J$16,0)</f>
        <v>34244121.601346172</v>
      </c>
      <c r="F17" s="400">
        <f>F$15-F$16+IF(AND(OR('Company Information'!$C$12="District of Columbia",'Company Information'!$C$12="Massachusetts",'Company Information'!$C$12="Vermont"),SUM($C$6:$F$11,$C$15:$F$16,$C$38:$D$38)&lt;&gt;0),K$15-K$16,0)</f>
        <v>70849107.031346157</v>
      </c>
      <c r="G17" s="450"/>
      <c r="H17" s="399">
        <f>H$15-H$16+IF(AND(OR('Company Information'!$C$12="District of Columbia",'Company Information'!$C$12="Massachusetts",'Company Information'!$C$12="Vermont"),SUM($H$6:$K$11,$H$15:$K$16,$H$38:$I$38)&lt;&gt;0),C$15-C$16,0)</f>
        <v>102315121.16</v>
      </c>
      <c r="I17" s="400">
        <f>I$15-I$16+IF(AND(OR('Company Information'!$C$12="District of Columbia",'Company Information'!$C$12="Massachusetts",'Company Information'!$C$12="Vermont"),SUM($H$6:$K$11,$H$15:$K$16,$H$38:$I$38)&lt;&gt;0),D$15-D$16,0)</f>
        <v>110439382.11</v>
      </c>
      <c r="J17" s="400">
        <f>J$15-J$16+IF(AND(OR('Company Information'!$C$12="District of Columbia",'Company Information'!$C$12="Massachusetts",'Company Information'!$C$12="Vermont"),SUM($H$6:$K$11,$H$15:$K$16,$H$38:$I$38)&lt;&gt;0),E$15-E$16,0)</f>
        <v>119528186.7100389</v>
      </c>
      <c r="K17" s="400">
        <f>K$15-K$16+IF(AND(OR('Company Information'!$C$12="District of Columbia",'Company Information'!$C$12="Massachusetts",'Company Information'!$C$12="Vermont"),SUM($H$6:$K$11,$H$15:$K$16,$H$38:$I$38)&lt;&gt;0),F$15-F$16,0)</f>
        <v>332282689.98003888</v>
      </c>
      <c r="L17" s="450"/>
      <c r="M17" s="399">
        <f>M$15-M$16</f>
        <v>94424787.25</v>
      </c>
      <c r="N17" s="400">
        <f>N$15-N$16</f>
        <v>89282471.539999992</v>
      </c>
      <c r="O17" s="400">
        <f>O$15-O$16</f>
        <v>70628930.947221294</v>
      </c>
      <c r="P17" s="400">
        <f>P$15-P$16</f>
        <v>254336189.7372213</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33055336</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4627255</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1842213.2000000002</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-838327</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1842213.2000000002</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1105327.92</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6743493.2000000002</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6743493.2000000002</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8379763.0800000001</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30374795.800000001</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6006607.9199999999</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1105327.92</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6006607.9199999999</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7642877.8000000007</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31111681.079999998</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1.0624734778876823</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505152.24380000122</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505152.24380000116</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38</v>
      </c>
      <c r="D38" s="405">
        <v>10595.17</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9475.1666666666661</v>
      </c>
      <c r="F38" s="432">
        <f>SUM(C$38:E$38)+IF(AND(OR('Company Information'!$C$12="District of Columbia",'Company Information'!$C$12="Massachusetts",'Company Information'!$C$12="Vermont"),SUM($C$6:$F$11,$C$15:$F$16,$C$38:$D$38)&lt;&gt;0,SUM(C$38:D$38)&lt;&gt;SUM(H$38:I$38)),SUM(H$38:I$38),0)</f>
        <v>20108.336666666666</v>
      </c>
      <c r="G38" s="448"/>
      <c r="H38" s="404">
        <v>28301</v>
      </c>
      <c r="I38" s="405">
        <v>28150.33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28148.25</v>
      </c>
      <c r="K38" s="432">
        <f>SUM(H$38:J$38)+IF(AND(OR('Company Information'!$C$12="District of Columbia",'Company Information'!$C$12="Massachusetts",'Company Information'!$C$12="Vermont"),SUM($H$6:$K$11,$H$15:$K$16,$H$38:$I$38)&lt;&gt;0,SUM(H$38:I$38)&lt;&gt;SUM(C$38:D$38)),SUM(C$38:D$38),0)</f>
        <v>84599.58</v>
      </c>
      <c r="L38" s="448"/>
      <c r="M38" s="404">
        <v>22665</v>
      </c>
      <c r="N38" s="405">
        <v>20692.419999999998</v>
      </c>
      <c r="O38" s="432">
        <f>('Pt 1 Summary of Data'!Q$59+'Pt 1 Summary of Data'!S$59-'Pt 1 Summary of Data'!T$59)/12</f>
        <v>15589.416666666666</v>
      </c>
      <c r="P38" s="432">
        <f>SUM(M$38:O$38)</f>
        <v>58946.836666666662</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1.9261108888888889E-2</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7.7055184000000025E-3</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4600</v>
      </c>
      <c r="G40" s="447"/>
      <c r="H40" s="443"/>
      <c r="I40" s="441"/>
      <c r="J40" s="441"/>
      <c r="K40" s="398">
        <v>2911</v>
      </c>
      <c r="L40" s="447"/>
      <c r="M40" s="443"/>
      <c r="N40" s="441"/>
      <c r="O40" s="441"/>
      <c r="P40" s="398">
        <v>2907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1.3639199999999998</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1.2031272</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1.2027463999999999</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2.627061163573333E-2</v>
      </c>
      <c r="G42" s="447"/>
      <c r="H42" s="443"/>
      <c r="I42" s="441"/>
      <c r="J42" s="441"/>
      <c r="K42" s="436">
        <f>IF(OR(K$38&lt;1000,K$38&gt;=75000),0,K$39*K$41)</f>
        <v>0</v>
      </c>
      <c r="L42" s="447"/>
      <c r="M42" s="443"/>
      <c r="N42" s="441"/>
      <c r="O42" s="441"/>
      <c r="P42" s="436">
        <f ca="1">IF(OR(P$38&lt;1000,P$38&gt;=75000),0,P$39*P$41)</f>
        <v>9.2677845157337624E-3</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f>IF(OR(D$38&lt;1000,D$17&lt;=0),"",D$12/D$17)</f>
        <v>1.0841948980515528</v>
      </c>
      <c r="E45" s="436">
        <f>IF(OR(E$38&lt;1000,E$17&lt;=0),"",E$12/E$17)</f>
        <v>1.0234624894808877</v>
      </c>
      <c r="F45" s="436">
        <f>IF(OR(F$38&lt;1000,F$17&lt;=0),"",F$12/F$17)</f>
        <v>1.0594908556996918</v>
      </c>
      <c r="G45" s="447"/>
      <c r="H45" s="438">
        <f>IF(OR(H$38&lt;1000,H$17&lt;=0),"",H$12/H$17)</f>
        <v>0.77866136669567898</v>
      </c>
      <c r="I45" s="436">
        <f>IF(OR(I$38&lt;1000,I$17&lt;=0),"",I$12/I$17)</f>
        <v>0.77955619486541705</v>
      </c>
      <c r="J45" s="436">
        <f>IF(OR(J$38&lt;1000,J$17&lt;=0),"",J$12/J$17)</f>
        <v>0.83164423602573168</v>
      </c>
      <c r="K45" s="436">
        <f>IF(OR(K$38&lt;1000,K$17&lt;=0),"",K$12/K$17)</f>
        <v>0.7980176881708152</v>
      </c>
      <c r="L45" s="447"/>
      <c r="M45" s="438">
        <f>IF(OR(M$38&lt;1000,M$17&lt;=0),"",M$12/M$17)</f>
        <v>0.85751597326970785</v>
      </c>
      <c r="N45" s="436">
        <f>IF(OR(N$38&lt;1000,N$17&lt;=0),"",N$12/N$17)</f>
        <v>0.90416642887626553</v>
      </c>
      <c r="O45" s="436">
        <f>IF(OR(O$38&lt;1000,O$17&lt;=0),"",O$12/O$17)</f>
        <v>0.91611062890281691</v>
      </c>
      <c r="P45" s="436">
        <f>IF(OR(P$38&lt;1000,P$17&lt;=0),"",P$12/P$17)</f>
        <v>0.89016388653044665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2.627061163573333E-2</v>
      </c>
      <c r="G47" s="447"/>
      <c r="H47" s="443"/>
      <c r="I47" s="441"/>
      <c r="J47" s="441"/>
      <c r="K47" s="436">
        <f>IF(K$45="","",K$42)</f>
        <v>0</v>
      </c>
      <c r="L47" s="447"/>
      <c r="M47" s="443"/>
      <c r="N47" s="441"/>
      <c r="O47" s="441"/>
      <c r="P47" s="436">
        <f ca="1">IF(P$45="","",P$42)</f>
        <v>9.2677845157337624E-3</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1.0860000000000001</v>
      </c>
      <c r="G48" s="447"/>
      <c r="H48" s="443"/>
      <c r="I48" s="441"/>
      <c r="J48" s="441"/>
      <c r="K48" s="436">
        <f>IF(K$45="","",ROUND(K$45+MAX(0,K$47),3))</f>
        <v>0.79800000000000004</v>
      </c>
      <c r="L48" s="447"/>
      <c r="M48" s="443"/>
      <c r="N48" s="441"/>
      <c r="O48" s="441"/>
      <c r="P48" s="436">
        <f ca="1">IF(P$45="","",ROUND(P$45+MAX(0,P$47),3))</f>
        <v>0.89900000000000002</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1.0860000000000001</v>
      </c>
      <c r="G51" s="447"/>
      <c r="H51" s="444"/>
      <c r="I51" s="442"/>
      <c r="J51" s="442"/>
      <c r="K51" s="436">
        <f>K$48</f>
        <v>0.79800000000000004</v>
      </c>
      <c r="L51" s="447"/>
      <c r="M51" s="444"/>
      <c r="N51" s="442"/>
      <c r="O51" s="442"/>
      <c r="P51" s="436">
        <f ca="1">P$48</f>
        <v>0.89900000000000002</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34244121.601346172</v>
      </c>
      <c r="G52" s="447"/>
      <c r="H52" s="443"/>
      <c r="I52" s="441"/>
      <c r="J52" s="441"/>
      <c r="K52" s="400">
        <f>IF(K$38&lt;1000,"",MAX(0,J$15-J$16))</f>
        <v>119528186.7100389</v>
      </c>
      <c r="L52" s="447"/>
      <c r="M52" s="443"/>
      <c r="N52" s="441"/>
      <c r="O52" s="441"/>
      <c r="P52" s="400">
        <f>IF(P$38&lt;1000,"",MAX(0,O$15-O$16))</f>
        <v>70628930.947221294</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239056.37342007802</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684305.47524900001</v>
      </c>
      <c r="I56" s="441"/>
      <c r="J56" s="441"/>
      <c r="K56" s="441"/>
      <c r="L56" s="447"/>
      <c r="M56" s="397">
        <v>333687.88313999999</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37898.069560000004</v>
      </c>
      <c r="I57" s="441"/>
      <c r="J57" s="441"/>
      <c r="K57" s="441"/>
      <c r="L57" s="447"/>
      <c r="M57" s="397">
        <v>8324.9554449999996</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-1184742</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47111008</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45926266</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152" yWindow="701"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5377</v>
      </c>
      <c r="D4" s="104">
        <f>'Pt 1 Summary of Data'!$K$56+'Pt 1 Summary of Data'!$M$56-'Pt 1 Summary of Data'!$N$56</f>
        <v>15642</v>
      </c>
      <c r="E4" s="104">
        <f>'Pt 1 Summary of Data'!$Q$56+'Pt 1 Summary of Data'!$S$56-'Pt 1 Summary of Data'!$T$56</f>
        <v>8063</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1745</v>
      </c>
      <c r="E6" s="100"/>
      <c r="F6" s="184"/>
      <c r="G6" s="100"/>
      <c r="H6" s="100"/>
      <c r="I6" s="184"/>
      <c r="J6" s="184"/>
      <c r="K6" s="189"/>
    </row>
    <row r="7" spans="2:11" x14ac:dyDescent="0.2">
      <c r="B7" s="116" t="s">
        <v>102</v>
      </c>
      <c r="C7" s="101"/>
      <c r="D7" s="102">
        <v>181</v>
      </c>
      <c r="E7" s="102"/>
      <c r="F7" s="102"/>
      <c r="G7" s="102"/>
      <c r="H7" s="102"/>
      <c r="I7" s="190"/>
      <c r="J7" s="190"/>
      <c r="K7" s="193"/>
    </row>
    <row r="8" spans="2:11" x14ac:dyDescent="0.2">
      <c r="B8" s="116" t="s">
        <v>103</v>
      </c>
      <c r="C8" s="182"/>
      <c r="D8" s="102">
        <v>41</v>
      </c>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239056.37342007802</v>
      </c>
      <c r="E11" s="97">
        <f ca="1">'Pt 3 MLR and Rebate Calculation'!$P$53</f>
        <v>0</v>
      </c>
      <c r="F11" s="97">
        <f>'Pt 3 MLR and Rebate Calculation'!$T$53</f>
        <v>0</v>
      </c>
      <c r="G11" s="97"/>
      <c r="H11" s="97"/>
      <c r="I11" s="178"/>
      <c r="J11" s="178"/>
      <c r="K11" s="196"/>
    </row>
    <row r="12" spans="2:11" x14ac:dyDescent="0.2">
      <c r="B12" s="124" t="s">
        <v>93</v>
      </c>
      <c r="C12" s="94"/>
      <c r="D12" s="95">
        <v>-118.74</v>
      </c>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239056.37</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883515.06</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23225.55</v>
      </c>
      <c r="E22" s="127"/>
      <c r="F22" s="127"/>
      <c r="G22" s="127"/>
      <c r="H22" s="127"/>
      <c r="I22" s="181"/>
      <c r="J22" s="181"/>
      <c r="K22" s="200"/>
    </row>
    <row r="23" spans="2:12" s="5" customFormat="1" ht="100.15" customHeight="1" x14ac:dyDescent="0.2">
      <c r="B23" s="91" t="s">
        <v>212</v>
      </c>
      <c r="C23" s="483" t="s">
        <v>512</v>
      </c>
      <c r="D23" s="484"/>
      <c r="E23" s="484"/>
      <c r="F23" s="484"/>
      <c r="G23" s="484"/>
      <c r="H23" s="484"/>
      <c r="I23" s="484"/>
      <c r="J23" s="484"/>
      <c r="K23" s="485"/>
    </row>
    <row r="24" spans="2:12" s="5" customFormat="1" ht="100.15" customHeight="1" x14ac:dyDescent="0.2">
      <c r="B24" s="90" t="s">
        <v>213</v>
      </c>
      <c r="C24" s="486" t="s">
        <v>513</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t="s">
        <v>510</v>
      </c>
      <c r="C11" s="28"/>
      <c r="D11" s="29"/>
      <c r="E11" s="29"/>
      <c r="F11" s="29"/>
      <c r="G11" s="29"/>
      <c r="H11" s="29"/>
      <c r="I11" s="27"/>
      <c r="J11" s="27"/>
      <c r="K11" s="2"/>
    </row>
    <row r="12" spans="1:12" s="5" customFormat="1" ht="18" customHeight="1" x14ac:dyDescent="0.2">
      <c r="B12" s="61" t="s">
        <v>511</v>
      </c>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2016-07-28T18:41:29Z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