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B53" i="10"/>
  <c r="X53" i="10"/>
  <c r="T53" i="10"/>
  <c r="AB52" i="10"/>
  <c r="X52" i="10"/>
  <c r="T52" i="10"/>
  <c r="P52" i="10"/>
  <c r="AB51" i="10"/>
  <c r="X51" i="10"/>
  <c r="T51" i="10"/>
  <c r="AB48" i="10"/>
  <c r="X48" i="10"/>
  <c r="T48" i="10"/>
  <c r="AB47" i="10"/>
  <c r="X47" i="10"/>
  <c r="T47" i="10"/>
  <c r="AM46" i="10"/>
  <c r="AL46" i="10"/>
  <c r="AK46" i="10"/>
  <c r="AB46" i="10"/>
  <c r="AA46" i="10"/>
  <c r="Z46" i="10"/>
  <c r="Y46" i="10"/>
  <c r="X46" i="10"/>
  <c r="W46" i="10"/>
  <c r="V46" i="10"/>
  <c r="U46" i="10"/>
  <c r="T46" i="10"/>
  <c r="S46" i="10"/>
  <c r="R46" i="10"/>
  <c r="Q46" i="10"/>
  <c r="O45" i="10"/>
  <c r="N45" i="10"/>
  <c r="M45" i="10"/>
  <c r="AB42" i="10"/>
  <c r="X42" i="10"/>
  <c r="T42" i="10"/>
  <c r="P42" i="10"/>
  <c r="AN41" i="10"/>
  <c r="AB41" i="10"/>
  <c r="X41" i="10"/>
  <c r="T41" i="10"/>
  <c r="P41" i="10"/>
  <c r="K41" i="10"/>
  <c r="F41" i="10"/>
  <c r="X39" i="10"/>
  <c r="P39" i="10"/>
  <c r="AN38" i="10"/>
  <c r="AN52" i="10" s="1"/>
  <c r="AM38" i="10"/>
  <c r="AB38" i="10"/>
  <c r="AA38" i="10"/>
  <c r="X38" i="10"/>
  <c r="W38" i="10"/>
  <c r="T38" i="10"/>
  <c r="S38" i="10"/>
  <c r="P38" i="10"/>
  <c r="O38" i="10"/>
  <c r="L32" i="10"/>
  <c r="L27" i="10"/>
  <c r="L24" i="10"/>
  <c r="L23" i="10"/>
  <c r="L20" i="10"/>
  <c r="L19" i="10"/>
  <c r="L22" i="10" s="1"/>
  <c r="L30" i="10" s="1"/>
  <c r="L31" i="10" s="1"/>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S13" i="10" s="1"/>
  <c r="P16" i="10"/>
  <c r="O16" i="10"/>
  <c r="L16" i="10"/>
  <c r="K16" i="10"/>
  <c r="J16" i="10"/>
  <c r="G16" i="10"/>
  <c r="F16" i="10"/>
  <c r="E16" i="10"/>
  <c r="AN15" i="10"/>
  <c r="AN17" i="10" s="1"/>
  <c r="AM15" i="10"/>
  <c r="AB15" i="10"/>
  <c r="AA15" i="10"/>
  <c r="X15" i="10"/>
  <c r="W15" i="10"/>
  <c r="T15" i="10"/>
  <c r="S15" i="10"/>
  <c r="P15" i="10"/>
  <c r="O15" i="10"/>
  <c r="L15" i="10"/>
  <c r="AM13" i="10"/>
  <c r="AL13" i="10"/>
  <c r="AK13" i="10"/>
  <c r="AB13" i="10"/>
  <c r="AA13" i="10"/>
  <c r="Z13" i="10"/>
  <c r="Y13" i="10"/>
  <c r="W13" i="10"/>
  <c r="R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N13" i="10" s="1"/>
  <c r="AM6" i="10"/>
  <c r="AB6" i="10"/>
  <c r="AA6" i="10"/>
  <c r="X6" i="10"/>
  <c r="W6" i="10"/>
  <c r="T6" i="10"/>
  <c r="S6" i="10"/>
  <c r="P6" i="10"/>
  <c r="O6" i="10"/>
  <c r="L6" i="10"/>
  <c r="K6" i="10"/>
  <c r="J6" i="10"/>
  <c r="G6" i="10"/>
  <c r="F6" i="10"/>
  <c r="E6" i="10"/>
  <c r="AU55" i="18"/>
  <c r="AU22" i="4" s="1"/>
  <c r="AT55" i="18"/>
  <c r="AT22" i="4" s="1"/>
  <c r="AS55" i="18"/>
  <c r="AS22" i="4" s="1"/>
  <c r="AR55" i="18"/>
  <c r="AR22" i="4" s="1"/>
  <c r="AQ55" i="18"/>
  <c r="AQ22" i="4" s="1"/>
  <c r="AP55" i="18"/>
  <c r="AP22" i="4" s="1"/>
  <c r="AO55" i="18"/>
  <c r="AO22" i="4" s="1"/>
  <c r="AN55" i="18"/>
  <c r="AN22" i="4" s="1"/>
  <c r="AC55" i="18"/>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N55" i="18"/>
  <c r="N22" i="4" s="1"/>
  <c r="M55" i="18"/>
  <c r="M22" i="4" s="1"/>
  <c r="L55" i="18"/>
  <c r="L22" i="4" s="1"/>
  <c r="K55" i="18"/>
  <c r="K22" i="4" s="1"/>
  <c r="J55" i="18"/>
  <c r="J22" i="4" s="1"/>
  <c r="I55" i="18"/>
  <c r="I22" i="4" s="1"/>
  <c r="H55" i="18"/>
  <c r="H22" i="4" s="1"/>
  <c r="G55" i="18"/>
  <c r="G22" i="4" s="1"/>
  <c r="F55" i="18"/>
  <c r="E55" i="18"/>
  <c r="E22" i="4" s="1"/>
  <c r="D55" i="18"/>
  <c r="D22" i="4" s="1"/>
  <c r="AU54" i="18"/>
  <c r="AT54" i="18"/>
  <c r="AT12" i="4" s="1"/>
  <c r="AS54" i="18"/>
  <c r="AS12" i="4" s="1"/>
  <c r="AR54" i="18"/>
  <c r="AQ54" i="18"/>
  <c r="AP54" i="18"/>
  <c r="AO54" i="18"/>
  <c r="AN54" i="18"/>
  <c r="AC54" i="18"/>
  <c r="AC12" i="4" s="1"/>
  <c r="AB54" i="18"/>
  <c r="AA54" i="18"/>
  <c r="AA12" i="4" s="1"/>
  <c r="Z54" i="18"/>
  <c r="Z12" i="4" s="1"/>
  <c r="Y54" i="18"/>
  <c r="Y12" i="4" s="1"/>
  <c r="X54" i="18"/>
  <c r="W54" i="18"/>
  <c r="V54" i="18"/>
  <c r="V12" i="4" s="1"/>
  <c r="U54" i="18"/>
  <c r="U12" i="4" s="1"/>
  <c r="T54" i="18"/>
  <c r="T12" i="4" s="1"/>
  <c r="S54" i="18"/>
  <c r="R54" i="18"/>
  <c r="R12" i="4" s="1"/>
  <c r="Q54" i="18"/>
  <c r="Q12" i="4" s="1"/>
  <c r="P54" i="18"/>
  <c r="P12" i="4" s="1"/>
  <c r="O54" i="18"/>
  <c r="N54" i="18"/>
  <c r="M54" i="18"/>
  <c r="L54" i="18"/>
  <c r="K54" i="18"/>
  <c r="K12" i="4" s="1"/>
  <c r="J54" i="18"/>
  <c r="J12" i="4" s="1"/>
  <c r="I54" i="18"/>
  <c r="H54" i="18"/>
  <c r="H12" i="4" s="1"/>
  <c r="G54" i="18"/>
  <c r="F54" i="18"/>
  <c r="F12" i="4" s="1"/>
  <c r="E54" i="18"/>
  <c r="E12" i="4" s="1"/>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O22" i="4"/>
  <c r="F22" i="4"/>
  <c r="AU12" i="4"/>
  <c r="AR12" i="4"/>
  <c r="AQ12" i="4"/>
  <c r="AP12" i="4"/>
  <c r="AO12" i="4"/>
  <c r="AN12" i="4"/>
  <c r="AB12" i="4"/>
  <c r="X12" i="4"/>
  <c r="W12" i="4"/>
  <c r="S12" i="4"/>
  <c r="O12" i="4"/>
  <c r="N12" i="4"/>
  <c r="M12" i="4"/>
  <c r="L12" i="4"/>
  <c r="I12" i="4"/>
  <c r="G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E15" i="10" s="1"/>
  <c r="D5" i="4"/>
  <c r="AN39" i="10" l="1"/>
  <c r="AN42" i="10"/>
  <c r="AN46" i="10"/>
  <c r="AN48" i="10" s="1"/>
  <c r="AN51" i="10" s="1"/>
  <c r="AN53" i="10"/>
  <c r="AN47" i="10"/>
  <c r="G7" i="10"/>
  <c r="J15" i="10"/>
  <c r="J7" i="10"/>
  <c r="I17" i="10" s="1"/>
  <c r="I45" i="10" s="1"/>
  <c r="F15" i="10"/>
  <c r="G19" i="10"/>
  <c r="K15" i="10"/>
  <c r="K7" i="10"/>
  <c r="J17" i="10" s="1"/>
  <c r="J38" i="10"/>
  <c r="G27" i="10"/>
  <c r="G23" i="10"/>
  <c r="G32" i="10"/>
  <c r="G24" i="10"/>
  <c r="H12" i="10"/>
  <c r="G20" i="10"/>
  <c r="P47" i="10"/>
  <c r="P48" i="10" s="1"/>
  <c r="P51" i="10" s="1"/>
  <c r="P53" i="10" s="1"/>
  <c r="E11" i="16" s="1"/>
  <c r="AB39" i="10"/>
  <c r="T39" i="10"/>
  <c r="L29" i="10"/>
  <c r="L33" i="10" s="1"/>
  <c r="L34" i="10" s="1"/>
  <c r="L21" i="10"/>
  <c r="L26" i="10" s="1"/>
  <c r="L25" i="10" s="1"/>
  <c r="L28" i="10" s="1"/>
  <c r="T13" i="10"/>
  <c r="X13" i="10"/>
  <c r="U13" i="10"/>
  <c r="Q13" i="10"/>
  <c r="I12" i="10"/>
  <c r="J12" i="10"/>
  <c r="E7" i="10"/>
  <c r="K17" i="10" l="1"/>
  <c r="K38" i="10"/>
  <c r="J45" i="10"/>
  <c r="G22" i="10"/>
  <c r="F7" i="10"/>
  <c r="D12" i="10" s="1"/>
  <c r="D17" i="10"/>
  <c r="D45" i="10" s="1"/>
  <c r="C17" i="10"/>
  <c r="C45" i="10" s="1"/>
  <c r="E38" i="10"/>
  <c r="E12" i="10"/>
  <c r="H17" i="10"/>
  <c r="H45" i="10" s="1"/>
  <c r="F17" i="10"/>
  <c r="K52" i="10" l="1"/>
  <c r="K39" i="10"/>
  <c r="K42" i="10" s="1"/>
  <c r="K12" i="10"/>
  <c r="K45" i="10" s="1"/>
  <c r="C12" i="10"/>
  <c r="F12" i="10" s="1"/>
  <c r="F38" i="10"/>
  <c r="G30" i="10"/>
  <c r="G31" i="10" s="1"/>
  <c r="G29" i="10" s="1"/>
  <c r="G33" i="10" s="1"/>
  <c r="G34" i="10" s="1"/>
  <c r="G21" i="10"/>
  <c r="G26" i="10" s="1"/>
  <c r="G25" i="10" s="1"/>
  <c r="G28" i="10" s="1"/>
  <c r="E17" i="10"/>
  <c r="E45" i="10" s="1"/>
  <c r="F45" i="10" l="1"/>
  <c r="F52" i="10"/>
  <c r="F42" i="10"/>
  <c r="F39" i="10"/>
  <c r="F53" i="10"/>
  <c r="C11" i="16" s="1"/>
  <c r="K47" i="10"/>
  <c r="K48" i="10" s="1"/>
  <c r="K51" i="10" s="1"/>
  <c r="K53" i="10" s="1"/>
  <c r="D11" i="16" s="1"/>
  <c r="F48" i="10" l="1"/>
  <c r="F51" i="10" s="1"/>
  <c r="F47" i="10"/>
</calcChain>
</file>

<file path=xl/sharedStrings.xml><?xml version="1.0" encoding="utf-8"?>
<sst xmlns="http://schemas.openxmlformats.org/spreadsheetml/2006/main" count="630" uniqueCount="531">
  <si>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</si>
  <si>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</si>
  <si>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</si>
  <si>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</si>
  <si>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</si>
  <si>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</si>
  <si>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</si>
  <si>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</si>
  <si>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</si>
  <si>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</si>
  <si>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</si>
  <si>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</si>
  <si>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</si>
  <si>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</si>
  <si>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</si>
  <si>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</si>
  <si>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</si>
  <si>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</si>
  <si>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</si>
  <si>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</si>
  <si>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</si>
  <si>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</si>
  <si>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</si>
  <si>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</si>
  <si>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</si>
  <si>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</si>
  <si>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</si>
  <si>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</si>
  <si>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</si>
  <si>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</si>
  <si>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</si>
  <si>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</si>
  <si>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</si>
  <si>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</si>
  <si>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</si>
  <si>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</si>
  <si>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</si>
  <si>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</si>
  <si>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</si>
  <si>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</si>
  <si>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</si>
  <si>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</si>
  <si>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</si>
  <si>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</si>
  <si>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</si>
  <si>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</si>
  <si>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</si>
  <si>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</si>
  <si>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</si>
  <si>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</si>
  <si>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</si>
  <si>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</si>
  <si>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</si>
  <si>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</si>
  <si>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</si>
  <si>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</si>
  <si>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</si>
  <si>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</si>
  <si>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</si>
  <si>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</si>
  <si>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</si>
  <si>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</si>
  <si>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</si>
  <si>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</si>
  <si>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</si>
  <si>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</si>
  <si>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</si>
  <si>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</si>
  <si>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</si>
  <si>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</si>
  <si>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</si>
  <si>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</si>
  <si>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</si>
  <si>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</si>
  <si>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</si>
  <si>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</si>
  <si>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</si>
  <si>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</si>
  <si>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</si>
  <si>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</si>
  <si>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</si>
  <si>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</si>
  <si>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</si>
  <si>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</si>
  <si>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</si>
  <si>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</si>
  <si>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</si>
  <si>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</si>
  <si>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</si>
  <si>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</si>
  <si>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</si>
  <si>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</si>
  <si>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</si>
  <si>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</si>
  <si>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</si>
  <si>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</si>
  <si>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</si>
  <si>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</si>
  <si>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</si>
  <si>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</si>
  <si>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</si>
  <si>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</si>
  <si>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</si>
  <si>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</si>
  <si>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</si>
  <si>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</si>
  <si>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</si>
  <si>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</si>
  <si>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</si>
  <si>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</si>
  <si>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</si>
  <si>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</si>
  <si>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</si>
  <si>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</si>
  <si>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</si>
  <si>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</si>
  <si>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</si>
  <si>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</si>
  <si>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</si>
  <si>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</si>
  <si>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</si>
  <si>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</si>
  <si>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</si>
  <si>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</si>
  <si>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</si>
  <si>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</si>
  <si>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</si>
  <si>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</si>
  <si>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</si>
  <si>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</si>
  <si>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</si>
  <si>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</si>
  <si>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</si>
  <si>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</si>
  <si>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</si>
  <si>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</si>
  <si>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</si>
  <si>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</si>
  <si>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</si>
  <si>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</si>
  <si>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</si>
  <si>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</si>
  <si>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</si>
  <si>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</si>
  <si>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</si>
  <si>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</si>
  <si>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</si>
  <si>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</si>
  <si>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</si>
  <si>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</si>
  <si>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</si>
  <si>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</si>
  <si>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</si>
  <si>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</si>
  <si>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</si>
  <si>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</si>
  <si>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</si>
  <si>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</si>
  <si>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</si>
  <si>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</si>
  <si>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</si>
  <si>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</si>
  <si>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</si>
  <si>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</si>
  <si>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</si>
  <si>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</si>
  <si>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</si>
  <si>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</si>
  <si>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</si>
  <si>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</si>
  <si>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</si>
  <si>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</si>
  <si>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</si>
  <si>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</si>
  <si>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</si>
  <si>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</si>
  <si>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</si>
  <si>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</si>
  <si>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</si>
  <si>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</si>
  <si>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</si>
  <si>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</si>
  <si>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</si>
  <si>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</si>
  <si>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</si>
  <si>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</si>
  <si>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</si>
  <si>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</si>
  <si>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</si>
  <si>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</si>
  <si>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</si>
  <si>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</si>
  <si>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</si>
  <si>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</si>
  <si>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</si>
  <si>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</si>
  <si>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</si>
  <si>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</si>
  <si>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</si>
  <si>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</si>
  <si>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</si>
  <si>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</si>
  <si>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</si>
  <si>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</si>
  <si>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</si>
  <si>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</si>
  <si>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</si>
  <si>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</si>
  <si>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</si>
  <si>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</si>
  <si>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</si>
  <si>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</si>
  <si>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</si>
  <si>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</si>
  <si>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</si>
  <si>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</si>
  <si>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</si>
  <si>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</si>
  <si>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</si>
  <si>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</si>
  <si>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</si>
  <si>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</si>
  <si>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</si>
  <si>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</si>
  <si>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</si>
  <si>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</si>
  <si>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</si>
  <si>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</si>
  <si>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</si>
  <si>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</si>
  <si>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</si>
  <si>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</si>
  <si>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</si>
  <si>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</si>
  <si>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</si>
  <si>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</si>
  <si>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</si>
  <si>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</si>
  <si>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</si>
  <si>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</si>
  <si>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</si>
  <si>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</si>
  <si>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</si>
  <si>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</si>
  <si>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</si>
  <si>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</si>
  <si>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</si>
  <si>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</si>
  <si>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</si>
  <si>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</si>
  <si>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</si>
  <si>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</si>
  <si>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</si>
  <si>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</si>
  <si>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</si>
  <si>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</si>
  <si>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</si>
  <si>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</si>
  <si>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</si>
  <si>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</si>
  <si>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</si>
  <si>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</si>
  <si>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</si>
  <si>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</si>
  <si>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</si>
  <si>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</si>
  <si>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</si>
  <si>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</si>
  <si>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</si>
  <si>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</si>
  <si>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</si>
  <si>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</si>
  <si>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</si>
  <si>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</si>
  <si>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</si>
  <si>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</si>
  <si>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</si>
  <si>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</si>
  <si>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</si>
  <si>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</si>
  <si>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</si>
  <si>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</si>
  <si>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</si>
  <si>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</si>
  <si>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</si>
  <si>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</si>
  <si>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</si>
  <si>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</si>
  <si>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</si>
  <si>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</si>
  <si>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</si>
  <si>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</si>
  <si>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</si>
  <si>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</si>
  <si>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</si>
  <si>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</si>
  <si>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</si>
  <si>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</si>
  <si>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</si>
  <si>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</si>
  <si>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</si>
  <si>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</si>
  <si>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</si>
  <si>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</si>
  <si>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</si>
  <si>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</si>
  <si>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</si>
  <si>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</si>
  <si>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</si>
  <si>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</si>
  <si>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</si>
  <si>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</si>
  <si>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</si>
  <si>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</si>
  <si>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</si>
  <si>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</si>
  <si>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</si>
  <si>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</si>
  <si>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</si>
  <si>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</si>
  <si>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</si>
  <si>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</si>
  <si>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</si>
  <si>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</si>
  <si>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</si>
  <si>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</si>
  <si>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</si>
  <si>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</si>
  <si>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</si>
  <si>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</si>
  <si>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</si>
  <si>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</si>
  <si>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</si>
  <si>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</si>
  <si>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</si>
  <si>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</si>
  <si>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</si>
  <si>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</si>
  <si>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</si>
  <si>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</si>
  <si>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</si>
  <si>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</si>
  <si>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</si>
  <si>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</si>
  <si>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</si>
  <si>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</si>
  <si>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</si>
  <si>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</si>
  <si>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</si>
  <si>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</si>
  <si>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</si>
  <si>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</si>
  <si>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</si>
  <si>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</si>
  <si>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</si>
  <si>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</si>
  <si>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</si>
  <si>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</si>
  <si>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</si>
  <si>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</si>
  <si>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</si>
  <si>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</si>
  <si>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</si>
  <si>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</si>
  <si>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</si>
  <si>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</si>
  <si>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</si>
  <si>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</si>
  <si>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</si>
  <si>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</si>
  <si>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</si>
  <si>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</si>
  <si>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</si>
  <si>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</si>
  <si>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</si>
  <si>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</si>
  <si>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</si>
  <si>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</si>
  <si>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</si>
  <si>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</si>
  <si>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</si>
  <si>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</si>
  <si>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</si>
  <si>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</si>
  <si>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</si>
  <si>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</si>
  <si>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</si>
  <si>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</si>
  <si>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</si>
  <si>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</si>
  <si>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</si>
  <si>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</si>
  <si>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</si>
  <si>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</si>
  <si>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</si>
  <si>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</si>
  <si>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</si>
  <si>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</si>
  <si>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</si>
  <si>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</si>
  <si>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</si>
  <si>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</si>
  <si>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</si>
  <si>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</si>
  <si>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</si>
  <si>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</si>
  <si>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</si>
  <si>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</si>
  <si>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</si>
  <si>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</si>
  <si>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</si>
  <si>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</si>
  <si>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</si>
  <si>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</si>
  <si>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</si>
  <si>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</si>
  <si>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</si>
  <si>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</si>
  <si>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</si>
  <si>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</si>
  <si>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</si>
  <si>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</si>
  <si>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</si>
  <si>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</si>
  <si>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</si>
  <si>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</si>
  <si>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</si>
  <si>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</si>
  <si>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</si>
  <si>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</si>
  <si>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</si>
  <si>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</si>
  <si>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</si>
  <si>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</si>
  <si>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</si>
  <si>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</si>
  <si>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</si>
  <si>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</si>
  <si>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</si>
  <si>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</si>
  <si>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</si>
  <si>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</si>
  <si>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</si>
  <si>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</si>
  <si>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</si>
  <si>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</si>
  <si>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</si>
  <si>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</si>
  <si>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</si>
  <si>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</si>
  <si>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</si>
  <si>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</si>
  <si>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</si>
  <si>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</si>
  <si>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</si>
  <si>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</si>
  <si>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</si>
  <si>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</si>
  <si>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</si>
  <si>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</si>
  <si>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</si>
  <si>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</si>
  <si>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</si>
  <si>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</si>
  <si>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</si>
  <si>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</si>
  <si>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</si>
  <si>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</si>
  <si>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</si>
  <si>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</si>
  <si>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</si>
  <si>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</si>
  <si>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</si>
  <si>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</si>
  <si>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</si>
  <si>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</si>
  <si>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</si>
  <si>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</si>
  <si>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</si>
  <si>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</si>
  <si>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</si>
  <si>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</si>
  <si>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</si>
  <si>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</si>
  <si>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</si>
  <si>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</si>
  <si>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</si>
  <si>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</si>
  <si>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</si>
  <si>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</si>
  <si>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</si>
  <si>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</si>
  <si>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</si>
  <si>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</si>
  <si>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</si>
  <si>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</si>
  <si>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Wisconsin Health Organization Insurance Corporation</t>
  </si>
  <si>
    <t>HUMANA GRP</t>
  </si>
  <si>
    <t>Humana</t>
  </si>
  <si>
    <t>119</t>
  </si>
  <si>
    <t>2015</t>
  </si>
  <si>
    <t>N19W24133 Riverwood Drive, Two Riverwood Place, Suite 300 Waukesha, WI 53188-1145</t>
  </si>
  <si>
    <t>391525003</t>
  </si>
  <si>
    <t>095342</t>
  </si>
  <si>
    <t>95342</t>
  </si>
  <si>
    <t>221</t>
  </si>
  <si>
    <t>Humana Employers Health Plan of Georgia, Inc.</t>
  </si>
  <si>
    <t>Humana Health Insurance Company of Florida, Inc.</t>
  </si>
  <si>
    <t>Humana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</si>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</sst>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57501834</v>
      </c>
      <c r="K5" s="213">
        <f>SUM('Pt 2 Premium and Claims'!K$5,'Pt 2 Premium and Claims'!K$6,-'Pt 2 Premium and Claims'!K$7,-'Pt 2 Premium and Claims'!K$13,'Pt 2 Premium and Claims'!K$14,'Pt 2 Premium and Claims'!K$16:'Pt 2 Premium and Claims'!K$17)</f>
        <v>63397653.079999998</v>
      </c>
      <c r="L5" s="213">
        <f>SUM('Pt 2 Premium and Claims'!L$5,'Pt 2 Premium and Claims'!L$6,-'Pt 2 Premium and Claims'!L$7,-'Pt 2 Premium and Claims'!L$13,'Pt 2 Premium and Claims'!L$14,'Pt 2 Premium and Claims'!L$16:'Pt 2 Premium and Claims'!L$17)</f>
        <v>7643823.5199999996</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155703462</v>
      </c>
      <c r="Q5" s="213">
        <f>SUM('Pt 2 Premium and Claims'!Q$5,'Pt 2 Premium and Claims'!Q$6,-'Pt 2 Premium and Claims'!Q$7,-'Pt 2 Premium and Claims'!Q$13,'Pt 2 Premium and Claims'!Q$14)</f>
        <v>168951611.19999999</v>
      </c>
      <c r="R5" s="213">
        <f>SUM('Pt 2 Premium and Claims'!R$5,'Pt 2 Premium and Claims'!R$6,-'Pt 2 Premium and Claims'!R$7,-'Pt 2 Premium and Claims'!R$13,'Pt 2 Premium and Claims'!R$14)</f>
        <v>11222809.76</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381125602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-268.62</v>
      </c>
      <c r="L7" s="217">
        <v>-268.62</v>
      </c>
      <c r="M7" s="217"/>
      <c r="N7" s="217"/>
      <c r="O7" s="216"/>
      <c r="P7" s="216">
        <v>0</v>
      </c>
      <c r="Q7" s="217">
        <v>-443.31</v>
      </c>
      <c r="R7" s="217">
        <v>-443.31</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-105498</v>
      </c>
      <c r="K8" s="268"/>
      <c r="L8" s="269"/>
      <c r="M8" s="269"/>
      <c r="N8" s="269"/>
      <c r="O8" s="272"/>
      <c r="P8" s="216">
        <v>-197359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-10510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48323479</v>
      </c>
      <c r="K12" s="213">
        <f>'Pt 2 Premium and Claims'!K$54</f>
        <v>53973046.480000004</v>
      </c>
      <c r="L12" s="213">
        <f>'Pt 2 Premium and Claims'!L$54</f>
        <v>6373294.9699999997</v>
      </c>
      <c r="M12" s="213">
        <f>'Pt 2 Premium and Claims'!M$54</f>
        <v>0</v>
      </c>
      <c r="N12" s="213">
        <f>'Pt 2 Premium and Claims'!N$54</f>
        <v>0</v>
      </c>
      <c r="O12" s="212">
        <f>'Pt 2 Premium and Claims'!O$54</f>
        <v>0</v>
      </c>
      <c r="P12" s="212">
        <f>'Pt 2 Premium and Claims'!P$54</f>
        <v>142005278</v>
      </c>
      <c r="Q12" s="213">
        <f>'Pt 2 Premium and Claims'!Q$54</f>
        <v>148988886.34999999</v>
      </c>
      <c r="R12" s="213">
        <f>'Pt 2 Premium and Claims'!R$54</f>
        <v>9595816.5399999991</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346845556</v>
      </c>
      <c r="AV12" s="291"/>
      <c r="AW12" s="296"/>
    </row>
    <row r="13" spans="1:49" ht="25.5" x14ac:dyDescent="0.2">
      <c r="B13" s="239" t="s">
        <v>230</v>
      </c>
      <c r="C13" s="203" t="s">
        <v>37</v>
      </c>
      <c r="D13" s="216">
        <v>0</v>
      </c>
      <c r="E13" s="217">
        <v>0</v>
      </c>
      <c r="F13" s="217"/>
      <c r="G13" s="268"/>
      <c r="H13" s="269"/>
      <c r="I13" s="216"/>
      <c r="J13" s="216">
        <v>8705707</v>
      </c>
      <c r="K13" s="217">
        <v>8433400.0500000007</v>
      </c>
      <c r="L13" s="217"/>
      <c r="M13" s="268"/>
      <c r="N13" s="269"/>
      <c r="O13" s="216"/>
      <c r="P13" s="216">
        <v>13791872</v>
      </c>
      <c r="Q13" s="217">
        <v>14014933.109999999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46475606</v>
      </c>
      <c r="AV13" s="290"/>
      <c r="AW13" s="297"/>
    </row>
    <row r="14" spans="1:49" ht="25.5" x14ac:dyDescent="0.2">
      <c r="B14" s="239" t="s">
        <v>231</v>
      </c>
      <c r="C14" s="203" t="s">
        <v>6</v>
      </c>
      <c r="D14" s="216">
        <v>0</v>
      </c>
      <c r="E14" s="217">
        <v>0</v>
      </c>
      <c r="F14" s="217"/>
      <c r="G14" s="267"/>
      <c r="H14" s="270"/>
      <c r="I14" s="216"/>
      <c r="J14" s="216">
        <v>1186078</v>
      </c>
      <c r="K14" s="217">
        <v>1130369.3600000001</v>
      </c>
      <c r="L14" s="217"/>
      <c r="M14" s="267"/>
      <c r="N14" s="270"/>
      <c r="O14" s="216"/>
      <c r="P14" s="216">
        <v>1802704</v>
      </c>
      <c r="Q14" s="217">
        <v>1895704.33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14529538</v>
      </c>
      <c r="AV14" s="290"/>
      <c r="AW14" s="297"/>
    </row>
    <row r="15" spans="1:49" ht="38.25" x14ac:dyDescent="0.2">
      <c r="B15" s="239" t="s">
        <v>232</v>
      </c>
      <c r="C15" s="203" t="s">
        <v>7</v>
      </c>
      <c r="D15" s="216">
        <v>0</v>
      </c>
      <c r="E15" s="217"/>
      <c r="F15" s="217"/>
      <c r="G15" s="267"/>
      <c r="H15" s="273"/>
      <c r="I15" s="216"/>
      <c r="J15" s="216">
        <v>10398</v>
      </c>
      <c r="K15" s="217">
        <v>13942.41</v>
      </c>
      <c r="L15" s="217">
        <v>3955.09</v>
      </c>
      <c r="M15" s="267"/>
      <c r="N15" s="273"/>
      <c r="O15" s="216"/>
      <c r="P15" s="216">
        <v>27525</v>
      </c>
      <c r="Q15" s="217">
        <v>33687.160000000003</v>
      </c>
      <c r="R15" s="217">
        <v>5751.85</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27404</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-1249000</v>
      </c>
      <c r="K17" s="267"/>
      <c r="L17" s="270"/>
      <c r="M17" s="270"/>
      <c r="N17" s="270"/>
      <c r="O17" s="271"/>
      <c r="P17" s="216">
        <v>2052000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-2222000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85194.04</v>
      </c>
      <c r="K22" s="222">
        <f>'Pt 2 Premium and Claims'!K$55</f>
        <v>93280.37</v>
      </c>
      <c r="L22" s="222">
        <f>'Pt 2 Premium and Claims'!L$55</f>
        <v>4799.3100000000004</v>
      </c>
      <c r="M22" s="222">
        <f>'Pt 2 Premium and Claims'!M$55</f>
        <v>0</v>
      </c>
      <c r="N22" s="222">
        <f>'Pt 2 Premium and Claims'!N$55</f>
        <v>0</v>
      </c>
      <c r="O22" s="221">
        <f>'Pt 2 Premium and Claims'!O$55</f>
        <v>0</v>
      </c>
      <c r="P22" s="221">
        <f>'Pt 2 Premium and Claims'!P$55</f>
        <v>201230.82</v>
      </c>
      <c r="Q22" s="222">
        <f>'Pt 2 Premium and Claims'!Q$55</f>
        <v>221325.05</v>
      </c>
      <c r="R22" s="222">
        <f>'Pt 2 Premium and Claims'!R$55</f>
        <v>10079.14</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c r="H25" s="217"/>
      <c r="I25" s="216"/>
      <c r="J25" s="216">
        <v>246742.8</v>
      </c>
      <c r="K25" s="217">
        <v>-23349.81</v>
      </c>
      <c r="L25" s="217">
        <v>46471.53</v>
      </c>
      <c r="M25" s="217"/>
      <c r="N25" s="217"/>
      <c r="O25" s="216"/>
      <c r="P25" s="216">
        <v>-838855.74</v>
      </c>
      <c r="Q25" s="217">
        <v>-791428.82</v>
      </c>
      <c r="R25" s="217">
        <v>-269141.93</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-2381954.77</v>
      </c>
      <c r="AV25" s="220"/>
      <c r="AW25" s="297"/>
    </row>
    <row r="26" spans="1:49" s="5" customFormat="1" x14ac:dyDescent="0.2">
      <c r="A26" s="35"/>
      <c r="B26" s="242" t="s">
        <v>242</v>
      </c>
      <c r="C26" s="203"/>
      <c r="D26" s="216"/>
      <c r="E26" s="217"/>
      <c r="F26" s="217"/>
      <c r="G26" s="217"/>
      <c r="H26" s="217"/>
      <c r="I26" s="216"/>
      <c r="J26" s="216">
        <v>28944.05</v>
      </c>
      <c r="K26" s="217">
        <v>31937.18</v>
      </c>
      <c r="L26" s="217">
        <v>4176.29</v>
      </c>
      <c r="M26" s="217"/>
      <c r="N26" s="217"/>
      <c r="O26" s="216"/>
      <c r="P26" s="216">
        <v>62764.46</v>
      </c>
      <c r="Q26" s="217">
        <v>69815</v>
      </c>
      <c r="R26" s="217">
        <v>5867.38</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983442.5</v>
      </c>
      <c r="K27" s="217">
        <v>1074064</v>
      </c>
      <c r="L27" s="217">
        <v>129441.69</v>
      </c>
      <c r="M27" s="217"/>
      <c r="N27" s="217"/>
      <c r="O27" s="216"/>
      <c r="P27" s="216">
        <v>2595423.19</v>
      </c>
      <c r="Q27" s="217">
        <v>2822489.18</v>
      </c>
      <c r="R27" s="217">
        <v>188245.8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6374024.6200000001</v>
      </c>
      <c r="AV27" s="293"/>
      <c r="AW27" s="297"/>
    </row>
    <row r="28" spans="1:49" s="5" customFormat="1" x14ac:dyDescent="0.2">
      <c r="A28" s="35"/>
      <c r="B28" s="242" t="s">
        <v>244</v>
      </c>
      <c r="C28" s="203"/>
      <c r="D28" s="216"/>
      <c r="E28" s="217"/>
      <c r="F28" s="217"/>
      <c r="G28" s="217"/>
      <c r="H28" s="217"/>
      <c r="I28" s="216"/>
      <c r="J28" s="216">
        <v>102534.08</v>
      </c>
      <c r="K28" s="217">
        <v>111817.67</v>
      </c>
      <c r="L28" s="217">
        <v>13505.88</v>
      </c>
      <c r="M28" s="217"/>
      <c r="N28" s="217"/>
      <c r="O28" s="216"/>
      <c r="P28" s="216">
        <v>252973.2</v>
      </c>
      <c r="Q28" s="217">
        <v>277483.53000000003</v>
      </c>
      <c r="R28" s="217">
        <v>20288.04</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691624.52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c r="J30" s="216">
        <v>29677.71</v>
      </c>
      <c r="K30" s="217">
        <v>16573.8</v>
      </c>
      <c r="L30" s="217">
        <v>8423.43</v>
      </c>
      <c r="M30" s="217"/>
      <c r="N30" s="217"/>
      <c r="O30" s="216"/>
      <c r="P30" s="216">
        <v>-23852.42</v>
      </c>
      <c r="Q30" s="217">
        <v>-15234.19</v>
      </c>
      <c r="R30" s="217">
        <v>-12909.42</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-68932.600000000006</v>
      </c>
      <c r="AV30" s="220"/>
      <c r="AW30" s="297"/>
    </row>
    <row r="31" spans="1:49" x14ac:dyDescent="0.2">
      <c r="B31" s="242" t="s">
        <v>247</v>
      </c>
      <c r="C31" s="203"/>
      <c r="D31" s="216"/>
      <c r="E31" s="217"/>
      <c r="F31" s="217"/>
      <c r="G31" s="217"/>
      <c r="H31" s="217"/>
      <c r="I31" s="216"/>
      <c r="J31" s="216"/>
      <c r="K31" s="217">
        <v>734.23</v>
      </c>
      <c r="L31" s="217">
        <v>734.23</v>
      </c>
      <c r="M31" s="217"/>
      <c r="N31" s="217"/>
      <c r="O31" s="216"/>
      <c r="P31" s="216"/>
      <c r="Q31" s="217">
        <v>1096.1300000000001</v>
      </c>
      <c r="R31" s="217">
        <v>1096.1300000000001</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615654.89</v>
      </c>
      <c r="K34" s="217">
        <v>591043.78</v>
      </c>
      <c r="L34" s="217"/>
      <c r="M34" s="217"/>
      <c r="N34" s="217"/>
      <c r="O34" s="216"/>
      <c r="P34" s="216">
        <v>1296265.23</v>
      </c>
      <c r="Q34" s="217">
        <v>1320876.3400000001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44663.37</v>
      </c>
      <c r="K35" s="217">
        <v>51328.66</v>
      </c>
      <c r="L35" s="217">
        <v>8378.36</v>
      </c>
      <c r="M35" s="217"/>
      <c r="N35" s="217"/>
      <c r="O35" s="216"/>
      <c r="P35" s="216">
        <v>104140.75</v>
      </c>
      <c r="Q35" s="217">
        <v>117775.51</v>
      </c>
      <c r="R35" s="217">
        <v>11921.69</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236539.87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142677</v>
      </c>
      <c r="K37" s="225">
        <v>143854.51</v>
      </c>
      <c r="L37" s="225">
        <v>7444.17</v>
      </c>
      <c r="M37" s="225"/>
      <c r="N37" s="225"/>
      <c r="O37" s="224"/>
      <c r="P37" s="224">
        <v>348330</v>
      </c>
      <c r="Q37" s="225">
        <v>379238.99</v>
      </c>
      <c r="R37" s="225">
        <v>24642.46</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2925970</v>
      </c>
      <c r="AV37" s="226">
        <v>0</v>
      </c>
      <c r="AW37" s="296"/>
    </row>
    <row r="38" spans="1:49" x14ac:dyDescent="0.2">
      <c r="B38" s="239" t="s">
        <v>254</v>
      </c>
      <c r="C38" s="203" t="s">
        <v>16</v>
      </c>
      <c r="D38" s="216">
        <v>0</v>
      </c>
      <c r="E38" s="217"/>
      <c r="F38" s="217"/>
      <c r="G38" s="217"/>
      <c r="H38" s="217"/>
      <c r="I38" s="216"/>
      <c r="J38" s="216">
        <v>8775</v>
      </c>
      <c r="K38" s="217">
        <v>8746.31</v>
      </c>
      <c r="L38" s="217">
        <v>637.02</v>
      </c>
      <c r="M38" s="217"/>
      <c r="N38" s="217"/>
      <c r="O38" s="216"/>
      <c r="P38" s="216">
        <v>84414</v>
      </c>
      <c r="Q38" s="217">
        <v>101913.81</v>
      </c>
      <c r="R38" s="217">
        <v>16834.13</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1173550</v>
      </c>
      <c r="AV38" s="220">
        <v>0</v>
      </c>
      <c r="AW38" s="297"/>
    </row>
    <row r="39" spans="1:49" x14ac:dyDescent="0.2">
      <c r="B39" s="242" t="s">
        <v>255</v>
      </c>
      <c r="C39" s="203" t="s">
        <v>17</v>
      </c>
      <c r="D39" s="216">
        <v>0</v>
      </c>
      <c r="E39" s="217"/>
      <c r="F39" s="217"/>
      <c r="G39" s="217"/>
      <c r="H39" s="217"/>
      <c r="I39" s="216"/>
      <c r="J39" s="216">
        <v>84768</v>
      </c>
      <c r="K39" s="217">
        <v>83048.7</v>
      </c>
      <c r="L39" s="217">
        <v>1735.17</v>
      </c>
      <c r="M39" s="217"/>
      <c r="N39" s="217"/>
      <c r="O39" s="216"/>
      <c r="P39" s="216">
        <v>155843</v>
      </c>
      <c r="Q39" s="217">
        <v>164687.79999999999</v>
      </c>
      <c r="R39" s="217">
        <v>5390.89</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813118</v>
      </c>
      <c r="AV39" s="220">
        <v>0</v>
      </c>
      <c r="AW39" s="297"/>
    </row>
    <row r="40" spans="1:49" x14ac:dyDescent="0.2">
      <c r="B40" s="242" t="s">
        <v>256</v>
      </c>
      <c r="C40" s="203" t="s">
        <v>38</v>
      </c>
      <c r="D40" s="216">
        <v>0</v>
      </c>
      <c r="E40" s="217"/>
      <c r="F40" s="217"/>
      <c r="G40" s="217"/>
      <c r="H40" s="217"/>
      <c r="I40" s="216"/>
      <c r="J40" s="216">
        <v>740993</v>
      </c>
      <c r="K40" s="217">
        <v>723033.45</v>
      </c>
      <c r="L40" s="217">
        <v>10968.68</v>
      </c>
      <c r="M40" s="217"/>
      <c r="N40" s="217"/>
      <c r="O40" s="216"/>
      <c r="P40" s="216">
        <v>1322882</v>
      </c>
      <c r="Q40" s="217">
        <v>1379885.52</v>
      </c>
      <c r="R40" s="217">
        <v>28075.31</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2800154</v>
      </c>
      <c r="AV40" s="220">
        <v>0</v>
      </c>
      <c r="AW40" s="297"/>
    </row>
    <row r="41" spans="1:49" s="5" customFormat="1" ht="25.5" x14ac:dyDescent="0.2">
      <c r="A41" s="35"/>
      <c r="B41" s="242" t="s">
        <v>257</v>
      </c>
      <c r="C41" s="203" t="s">
        <v>129</v>
      </c>
      <c r="D41" s="216">
        <v>0</v>
      </c>
      <c r="E41" s="217"/>
      <c r="F41" s="217"/>
      <c r="G41" s="217"/>
      <c r="H41" s="217"/>
      <c r="I41" s="216"/>
      <c r="J41" s="216">
        <v>81608</v>
      </c>
      <c r="K41" s="217">
        <v>89248.89</v>
      </c>
      <c r="L41" s="217">
        <v>10839.93</v>
      </c>
      <c r="M41" s="217"/>
      <c r="N41" s="217"/>
      <c r="O41" s="216"/>
      <c r="P41" s="216">
        <v>178817</v>
      </c>
      <c r="Q41" s="217">
        <v>197154.11</v>
      </c>
      <c r="R41" s="217">
        <v>15137.69</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529510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683158</v>
      </c>
      <c r="K44" s="225">
        <v>705735.93</v>
      </c>
      <c r="L44" s="225">
        <v>48743.97</v>
      </c>
      <c r="M44" s="225"/>
      <c r="N44" s="225"/>
      <c r="O44" s="224"/>
      <c r="P44" s="224">
        <v>1375300</v>
      </c>
      <c r="Q44" s="225">
        <v>1477672.31</v>
      </c>
      <c r="R44" s="225">
        <v>76206.19</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4204377</v>
      </c>
      <c r="AV44" s="226">
        <v>0</v>
      </c>
      <c r="AW44" s="296"/>
    </row>
    <row r="45" spans="1:49" x14ac:dyDescent="0.2">
      <c r="B45" s="245" t="s">
        <v>261</v>
      </c>
      <c r="C45" s="203" t="s">
        <v>19</v>
      </c>
      <c r="D45" s="216">
        <v>0</v>
      </c>
      <c r="E45" s="217"/>
      <c r="F45" s="217"/>
      <c r="G45" s="217"/>
      <c r="H45" s="217"/>
      <c r="I45" s="216"/>
      <c r="J45" s="216">
        <v>397090</v>
      </c>
      <c r="K45" s="217">
        <v>417987.09</v>
      </c>
      <c r="L45" s="217">
        <v>36783.360000000001</v>
      </c>
      <c r="M45" s="217"/>
      <c r="N45" s="217"/>
      <c r="O45" s="216"/>
      <c r="P45" s="216">
        <v>837231</v>
      </c>
      <c r="Q45" s="217">
        <v>908899.28</v>
      </c>
      <c r="R45" s="217">
        <v>55781.53</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3078829</v>
      </c>
      <c r="AV45" s="220">
        <v>0</v>
      </c>
      <c r="AW45" s="297"/>
    </row>
    <row r="46" spans="1:49" x14ac:dyDescent="0.2">
      <c r="B46" s="245" t="s">
        <v>262</v>
      </c>
      <c r="C46" s="203" t="s">
        <v>20</v>
      </c>
      <c r="D46" s="216">
        <v>0</v>
      </c>
      <c r="E46" s="217"/>
      <c r="F46" s="217"/>
      <c r="G46" s="217"/>
      <c r="H46" s="217"/>
      <c r="I46" s="216"/>
      <c r="J46" s="216">
        <v>218307</v>
      </c>
      <c r="K46" s="217">
        <v>238965.86</v>
      </c>
      <c r="L46" s="217">
        <v>29504.39</v>
      </c>
      <c r="M46" s="217"/>
      <c r="N46" s="217"/>
      <c r="O46" s="216"/>
      <c r="P46" s="216">
        <v>552451</v>
      </c>
      <c r="Q46" s="217">
        <v>604132.55000000005</v>
      </c>
      <c r="R46" s="217">
        <v>42836</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3417988</v>
      </c>
      <c r="AV46" s="220">
        <v>0</v>
      </c>
      <c r="AW46" s="297"/>
    </row>
    <row r="47" spans="1:49" x14ac:dyDescent="0.2">
      <c r="B47" s="245" t="s">
        <v>263</v>
      </c>
      <c r="C47" s="203" t="s">
        <v>21</v>
      </c>
      <c r="D47" s="216">
        <v>0</v>
      </c>
      <c r="E47" s="217"/>
      <c r="F47" s="217"/>
      <c r="G47" s="217"/>
      <c r="H47" s="217"/>
      <c r="I47" s="216"/>
      <c r="J47" s="216">
        <v>2038649</v>
      </c>
      <c r="K47" s="217">
        <v>1967101.59</v>
      </c>
      <c r="L47" s="217">
        <v>5024.95</v>
      </c>
      <c r="M47" s="217"/>
      <c r="N47" s="217"/>
      <c r="O47" s="216"/>
      <c r="P47" s="216">
        <v>2268740</v>
      </c>
      <c r="Q47" s="217">
        <v>2352860.2400000002</v>
      </c>
      <c r="R47" s="217">
        <v>7548.21</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8635948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v>0</v>
      </c>
      <c r="G49" s="217"/>
      <c r="H49" s="217"/>
      <c r="I49" s="216"/>
      <c r="J49" s="216">
        <v>-4756</v>
      </c>
      <c r="K49" s="217">
        <v>-4918.16</v>
      </c>
      <c r="L49" s="217">
        <v>-160.09</v>
      </c>
      <c r="M49" s="217"/>
      <c r="N49" s="217"/>
      <c r="O49" s="216"/>
      <c r="P49" s="216">
        <v>16482.04</v>
      </c>
      <c r="Q49" s="217">
        <v>10383.68</v>
      </c>
      <c r="R49" s="217">
        <v>-6100.43</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46752.11</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16064.49</v>
      </c>
      <c r="AV50" s="220"/>
      <c r="AW50" s="297"/>
    </row>
    <row r="51" spans="2:49" x14ac:dyDescent="0.2">
      <c r="B51" s="239" t="s">
        <v>266</v>
      </c>
      <c r="C51" s="203"/>
      <c r="D51" s="216">
        <v>0</v>
      </c>
      <c r="E51" s="217"/>
      <c r="F51" s="217"/>
      <c r="G51" s="217"/>
      <c r="H51" s="217"/>
      <c r="I51" s="216"/>
      <c r="J51" s="216">
        <v>3172584</v>
      </c>
      <c r="K51" s="217">
        <v>3460411.2</v>
      </c>
      <c r="L51" s="217">
        <v>417583.18</v>
      </c>
      <c r="M51" s="217"/>
      <c r="N51" s="217"/>
      <c r="O51" s="216"/>
      <c r="P51" s="216">
        <v>7687069</v>
      </c>
      <c r="Q51" s="217">
        <v>8436453</v>
      </c>
      <c r="R51" s="217">
        <v>619627.92000000004</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17725416</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7282</v>
      </c>
      <c r="K56" s="229">
        <v>7282</v>
      </c>
      <c r="L56" s="229">
        <v>0</v>
      </c>
      <c r="M56" s="229"/>
      <c r="N56" s="229"/>
      <c r="O56" s="228"/>
      <c r="P56" s="228">
        <v>12232</v>
      </c>
      <c r="Q56" s="229">
        <v>12232</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41808</v>
      </c>
      <c r="AV56" s="230">
        <v>0</v>
      </c>
      <c r="AW56" s="288"/>
    </row>
    <row r="57" spans="2:49" x14ac:dyDescent="0.2">
      <c r="B57" s="245" t="s">
        <v>272</v>
      </c>
      <c r="C57" s="203" t="s">
        <v>25</v>
      </c>
      <c r="D57" s="231">
        <v>0</v>
      </c>
      <c r="E57" s="232"/>
      <c r="F57" s="232"/>
      <c r="G57" s="232"/>
      <c r="H57" s="232"/>
      <c r="I57" s="231"/>
      <c r="J57" s="231">
        <v>13886</v>
      </c>
      <c r="K57" s="232">
        <v>13529</v>
      </c>
      <c r="L57" s="232">
        <v>1724</v>
      </c>
      <c r="M57" s="232"/>
      <c r="N57" s="232"/>
      <c r="O57" s="231"/>
      <c r="P57" s="231">
        <v>27825</v>
      </c>
      <c r="Q57" s="232">
        <v>28182</v>
      </c>
      <c r="R57" s="232">
        <v>2342</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41808</v>
      </c>
      <c r="AV57" s="233">
        <v>0</v>
      </c>
      <c r="AW57" s="289"/>
    </row>
    <row r="58" spans="2:49" x14ac:dyDescent="0.2">
      <c r="B58" s="245" t="s">
        <v>273</v>
      </c>
      <c r="C58" s="203" t="s">
        <v>26</v>
      </c>
      <c r="D58" s="309"/>
      <c r="E58" s="310"/>
      <c r="F58" s="310"/>
      <c r="G58" s="310"/>
      <c r="H58" s="310"/>
      <c r="I58" s="309"/>
      <c r="J58" s="231">
        <v>594</v>
      </c>
      <c r="K58" s="232">
        <v>594</v>
      </c>
      <c r="L58" s="232"/>
      <c r="M58" s="232"/>
      <c r="N58" s="232"/>
      <c r="O58" s="231"/>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169839</v>
      </c>
      <c r="K59" s="232">
        <v>163547</v>
      </c>
      <c r="L59" s="232">
        <v>20129</v>
      </c>
      <c r="M59" s="232"/>
      <c r="N59" s="232"/>
      <c r="O59" s="231"/>
      <c r="P59" s="231">
        <v>353356</v>
      </c>
      <c r="Q59" s="232">
        <v>359296</v>
      </c>
      <c r="R59" s="232">
        <v>27942</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478356</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14153.25</v>
      </c>
      <c r="K60" s="235">
        <f t="shared" si="0"/>
        <v>13628.916666666666</v>
      </c>
      <c r="L60" s="235">
        <f t="shared" si="0"/>
        <v>1677.4166666666667</v>
      </c>
      <c r="M60" s="235">
        <f t="shared" si="0"/>
        <v>0</v>
      </c>
      <c r="N60" s="235">
        <f t="shared" si="0"/>
        <v>0</v>
      </c>
      <c r="O60" s="234">
        <f t="shared" si="0"/>
        <v>0</v>
      </c>
      <c r="P60" s="234">
        <f t="shared" si="0"/>
        <v>29446.333333333332</v>
      </c>
      <c r="Q60" s="235">
        <f t="shared" si="0"/>
        <v>29941.333333333332</v>
      </c>
      <c r="R60" s="235">
        <f t="shared" si="0"/>
        <v>2328.5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39863</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c r="J5" s="325">
        <v>57501834</v>
      </c>
      <c r="K5" s="326">
        <v>62690525.82</v>
      </c>
      <c r="L5" s="326">
        <v>7643823.5199999996</v>
      </c>
      <c r="M5" s="326"/>
      <c r="N5" s="326"/>
      <c r="O5" s="325"/>
      <c r="P5" s="325">
        <v>155703462</v>
      </c>
      <c r="Q5" s="326">
        <v>168951611.19999999</v>
      </c>
      <c r="R5" s="326">
        <v>11222809.76</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381125602</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-67791</v>
      </c>
      <c r="K9" s="362"/>
      <c r="L9" s="362"/>
      <c r="M9" s="362"/>
      <c r="N9" s="362"/>
      <c r="O9" s="364"/>
      <c r="P9" s="318">
        <v>-29490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-1625477</v>
      </c>
      <c r="AV9" s="368"/>
      <c r="AW9" s="374"/>
    </row>
    <row r="10" spans="2:49" ht="25.5" x14ac:dyDescent="0.2">
      <c r="B10" s="345" t="s">
        <v>83</v>
      </c>
      <c r="C10" s="331"/>
      <c r="D10" s="365"/>
      <c r="E10" s="319">
        <v>0</v>
      </c>
      <c r="F10" s="319">
        <v>0</v>
      </c>
      <c r="G10" s="319"/>
      <c r="H10" s="319"/>
      <c r="I10" s="318"/>
      <c r="J10" s="365"/>
      <c r="K10" s="319">
        <v>-67791.25</v>
      </c>
      <c r="L10" s="319">
        <v>0</v>
      </c>
      <c r="M10" s="319"/>
      <c r="N10" s="319"/>
      <c r="O10" s="318"/>
      <c r="P10" s="365"/>
      <c r="Q10" s="319">
        <v>-33896</v>
      </c>
      <c r="R10" s="319">
        <v>-4406.41</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v>67791.25</v>
      </c>
      <c r="L11" s="319"/>
      <c r="M11" s="319"/>
      <c r="N11" s="319"/>
      <c r="O11" s="318"/>
      <c r="P11" s="318">
        <v>0</v>
      </c>
      <c r="Q11" s="319">
        <v>0</v>
      </c>
      <c r="R11" s="319">
        <v>0</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1232039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-1627676</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707127.26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121</v>
      </c>
      <c r="E23" s="362"/>
      <c r="F23" s="362"/>
      <c r="G23" s="362"/>
      <c r="H23" s="362"/>
      <c r="I23" s="364"/>
      <c r="J23" s="318">
        <v>47807524</v>
      </c>
      <c r="K23" s="362"/>
      <c r="L23" s="362"/>
      <c r="M23" s="362"/>
      <c r="N23" s="362"/>
      <c r="O23" s="364"/>
      <c r="P23" s="318">
        <v>140719824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9609</v>
      </c>
      <c r="AU23" s="321">
        <v>316640508</v>
      </c>
      <c r="AV23" s="368"/>
      <c r="AW23" s="374"/>
    </row>
    <row r="24" spans="2:49" ht="28.5" customHeight="1" x14ac:dyDescent="0.2">
      <c r="B24" s="345" t="s">
        <v>114</v>
      </c>
      <c r="C24" s="331"/>
      <c r="D24" s="365"/>
      <c r="E24" s="319">
        <v>0</v>
      </c>
      <c r="F24" s="319">
        <v>0</v>
      </c>
      <c r="G24" s="319"/>
      <c r="H24" s="319"/>
      <c r="I24" s="318"/>
      <c r="J24" s="365"/>
      <c r="K24" s="319">
        <v>54395494.240000002</v>
      </c>
      <c r="L24" s="319">
        <v>6469784.6699999999</v>
      </c>
      <c r="M24" s="319"/>
      <c r="N24" s="319"/>
      <c r="O24" s="318"/>
      <c r="P24" s="365"/>
      <c r="Q24" s="319">
        <v>149101117.75</v>
      </c>
      <c r="R24" s="319">
        <v>8590339.5899999999</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4646874</v>
      </c>
      <c r="K26" s="362"/>
      <c r="L26" s="362"/>
      <c r="M26" s="362"/>
      <c r="N26" s="362"/>
      <c r="O26" s="364"/>
      <c r="P26" s="318">
        <v>12776953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39858798</v>
      </c>
      <c r="AV26" s="368"/>
      <c r="AW26" s="374"/>
    </row>
    <row r="27" spans="2:49" s="5" customFormat="1" ht="25.5" x14ac:dyDescent="0.2">
      <c r="B27" s="345" t="s">
        <v>85</v>
      </c>
      <c r="C27" s="331"/>
      <c r="D27" s="365"/>
      <c r="E27" s="319">
        <v>0</v>
      </c>
      <c r="F27" s="319">
        <v>0</v>
      </c>
      <c r="G27" s="319"/>
      <c r="H27" s="319"/>
      <c r="I27" s="318"/>
      <c r="J27" s="365"/>
      <c r="K27" s="319">
        <v>834397.62</v>
      </c>
      <c r="L27" s="319">
        <v>176257.75</v>
      </c>
      <c r="M27" s="319"/>
      <c r="N27" s="319"/>
      <c r="O27" s="318"/>
      <c r="P27" s="365"/>
      <c r="Q27" s="319">
        <v>1604515.65</v>
      </c>
      <c r="R27" s="319">
        <v>210503.9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v>
      </c>
      <c r="E28" s="363"/>
      <c r="F28" s="363"/>
      <c r="G28" s="363"/>
      <c r="H28" s="363"/>
      <c r="I28" s="365"/>
      <c r="J28" s="318">
        <v>4044101</v>
      </c>
      <c r="K28" s="363"/>
      <c r="L28" s="363"/>
      <c r="M28" s="363"/>
      <c r="N28" s="363"/>
      <c r="O28" s="365"/>
      <c r="P28" s="318">
        <v>11101939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9609</v>
      </c>
      <c r="AU28" s="321">
        <v>8151501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6122</v>
      </c>
      <c r="K30" s="362"/>
      <c r="L30" s="362"/>
      <c r="M30" s="362"/>
      <c r="N30" s="362"/>
      <c r="O30" s="364"/>
      <c r="P30" s="318">
        <v>1878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-6138.55</v>
      </c>
      <c r="L31" s="319"/>
      <c r="M31" s="319"/>
      <c r="N31" s="319"/>
      <c r="O31" s="318"/>
      <c r="P31" s="365"/>
      <c r="Q31" s="319">
        <v>-861.45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12261</v>
      </c>
      <c r="K32" s="363"/>
      <c r="L32" s="363"/>
      <c r="M32" s="363"/>
      <c r="N32" s="363"/>
      <c r="O32" s="365"/>
      <c r="P32" s="318">
        <v>2739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-67791</v>
      </c>
      <c r="K38" s="362"/>
      <c r="L38" s="362"/>
      <c r="M38" s="362"/>
      <c r="N38" s="362"/>
      <c r="O38" s="364"/>
      <c r="P38" s="318">
        <v>-29490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-1625477</v>
      </c>
      <c r="AV38" s="368"/>
      <c r="AW38" s="374"/>
    </row>
    <row r="39" spans="2:49" ht="28.15" customHeight="1" x14ac:dyDescent="0.2">
      <c r="B39" s="345" t="s">
        <v>86</v>
      </c>
      <c r="C39" s="331"/>
      <c r="D39" s="365"/>
      <c r="E39" s="319">
        <v>0</v>
      </c>
      <c r="F39" s="319">
        <v>0</v>
      </c>
      <c r="G39" s="319"/>
      <c r="H39" s="319"/>
      <c r="I39" s="318"/>
      <c r="J39" s="365"/>
      <c r="K39" s="319">
        <v>-67791.25</v>
      </c>
      <c r="L39" s="319">
        <v>0</v>
      </c>
      <c r="M39" s="319"/>
      <c r="N39" s="319"/>
      <c r="O39" s="318"/>
      <c r="P39" s="365"/>
      <c r="Q39" s="319">
        <v>-33896</v>
      </c>
      <c r="R39" s="319">
        <v>-4406.41</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1232039</v>
      </c>
      <c r="AV41" s="368"/>
      <c r="AW41" s="374"/>
    </row>
    <row r="42" spans="2:49" s="5" customFormat="1" ht="25.5" x14ac:dyDescent="0.2">
      <c r="B42" s="345" t="s">
        <v>92</v>
      </c>
      <c r="C42" s="331"/>
      <c r="D42" s="365"/>
      <c r="E42" s="319"/>
      <c r="F42" s="319"/>
      <c r="G42" s="319"/>
      <c r="H42" s="319"/>
      <c r="I42" s="318"/>
      <c r="J42" s="365"/>
      <c r="K42" s="319">
        <v>67791.25</v>
      </c>
      <c r="L42" s="319"/>
      <c r="M42" s="319"/>
      <c r="N42" s="319"/>
      <c r="O42" s="318"/>
      <c r="P42" s="365"/>
      <c r="Q42" s="319">
        <v>0</v>
      </c>
      <c r="R42" s="319">
        <v>0</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-1627676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94266</v>
      </c>
      <c r="K49" s="319">
        <v>1130369.3600000001</v>
      </c>
      <c r="L49" s="319"/>
      <c r="M49" s="319"/>
      <c r="N49" s="319"/>
      <c r="O49" s="318"/>
      <c r="P49" s="318">
        <v>665855</v>
      </c>
      <c r="Q49" s="319">
        <v>1895704.33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3394875</v>
      </c>
      <c r="AV49" s="368"/>
      <c r="AW49" s="374"/>
    </row>
    <row r="50" spans="2:49" x14ac:dyDescent="0.2">
      <c r="B50" s="343" t="s">
        <v>119</v>
      </c>
      <c r="C50" s="331" t="s">
        <v>34</v>
      </c>
      <c r="D50" s="318">
        <v>9</v>
      </c>
      <c r="E50" s="363"/>
      <c r="F50" s="363"/>
      <c r="G50" s="363"/>
      <c r="H50" s="363"/>
      <c r="I50" s="365"/>
      <c r="J50" s="318">
        <v>81378</v>
      </c>
      <c r="K50" s="363"/>
      <c r="L50" s="363"/>
      <c r="M50" s="363"/>
      <c r="N50" s="363"/>
      <c r="O50" s="365"/>
      <c r="P50" s="318">
        <v>306646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658388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-120337.47</v>
      </c>
      <c r="L53" s="319">
        <v>-272747.45</v>
      </c>
      <c r="M53" s="319"/>
      <c r="N53" s="319"/>
      <c r="O53" s="318"/>
      <c r="P53" s="318">
        <v>0</v>
      </c>
      <c r="Q53" s="319">
        <v>213714.73</v>
      </c>
      <c r="R53" s="319">
        <v>799379.46</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48323479</v>
      </c>
      <c r="K54" s="323">
        <f>K24+K27+K31+K35-K36+K39+K42+K45+K46-K49+K51+K52+K53</f>
        <v>53973046.480000004</v>
      </c>
      <c r="L54" s="323">
        <f>L24+L27+L31+L35-L36+L39+L42+L45+L46-L49+L51+L52+L53</f>
        <v>6373294.9699999997</v>
      </c>
      <c r="M54" s="323">
        <f>M24+M27+M31+M35-M36+M39+M42+M45+M46-M49+M51+M52+M53</f>
        <v>0</v>
      </c>
      <c r="N54" s="323">
        <f>N24+N27+N31+N35-N36+N39+N42+N45+N46-N49+N51+N52+N53</f>
        <v>0</v>
      </c>
      <c r="O54" s="322">
        <f>O24+O27+O31+O35-O36+O39+O42+O45+O46-O49+O51+O52+O53</f>
        <v>0</v>
      </c>
      <c r="P54" s="322">
        <f>P23+P26-P28+P30-P32+P34-P36+P38+P41-P43+P45+P46-P47-P49+P50+P51+P52+P53</f>
        <v>142005278</v>
      </c>
      <c r="Q54" s="323">
        <f>Q24+Q27+Q31+Q35-Q36+Q39+Q42+Q45+Q46-Q49+Q51+Q52+Q53</f>
        <v>148988886.34999999</v>
      </c>
      <c r="R54" s="323">
        <f>R24+R27+R31+R35-R36+R39+R42+R45+R46-R49+R51+R52+R53</f>
        <v>9595816.5399999991</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0</v>
      </c>
      <c r="AU54" s="324">
        <f>AU23+AU26-AU28+AU30-AU32+AU34-AU36+AU38+AU41-AU43+AU45+AU46-AU47-AU49+AU50+AU51+AU52+AU53</f>
        <v>346845556</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85194.04</v>
      </c>
      <c r="K55" s="323">
        <f t="shared" si="0"/>
        <v>93280.37</v>
      </c>
      <c r="L55" s="323">
        <f t="shared" si="0"/>
        <v>4799.3100000000004</v>
      </c>
      <c r="M55" s="323">
        <f t="shared" si="0"/>
        <v>0</v>
      </c>
      <c r="N55" s="323">
        <f t="shared" si="0"/>
        <v>0</v>
      </c>
      <c r="O55" s="322">
        <f t="shared" si="0"/>
        <v>0</v>
      </c>
      <c r="P55" s="322">
        <f t="shared" si="0"/>
        <v>201230.82</v>
      </c>
      <c r="Q55" s="323">
        <f t="shared" si="0"/>
        <v>221325.05</v>
      </c>
      <c r="R55" s="323">
        <f t="shared" si="0"/>
        <v>10079.14</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c r="E56" s="319"/>
      <c r="F56" s="319"/>
      <c r="G56" s="319"/>
      <c r="H56" s="319"/>
      <c r="I56" s="318"/>
      <c r="J56" s="318">
        <v>85194.04</v>
      </c>
      <c r="K56" s="319">
        <v>93280.37</v>
      </c>
      <c r="L56" s="319">
        <v>11530.12</v>
      </c>
      <c r="M56" s="319"/>
      <c r="N56" s="319"/>
      <c r="O56" s="318"/>
      <c r="P56" s="318">
        <v>201230.82</v>
      </c>
      <c r="Q56" s="319">
        <v>221325.05</v>
      </c>
      <c r="R56" s="319">
        <v>16650.439999999999</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131585</v>
      </c>
      <c r="K57" s="319">
        <v>136383.94</v>
      </c>
      <c r="L57" s="319">
        <v>4799.3100000000004</v>
      </c>
      <c r="M57" s="319"/>
      <c r="N57" s="319"/>
      <c r="O57" s="318"/>
      <c r="P57" s="318">
        <v>305480</v>
      </c>
      <c r="Q57" s="319">
        <v>315558.7</v>
      </c>
      <c r="R57" s="319">
        <v>10079.14</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1173213</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39821404.780000001</v>
      </c>
      <c r="I5" s="403">
        <v>47458001.520000003</v>
      </c>
      <c r="J5" s="454"/>
      <c r="K5" s="454"/>
      <c r="L5" s="448"/>
      <c r="M5" s="402">
        <v>134536144.44999999</v>
      </c>
      <c r="N5" s="403">
        <v>140122571.27000001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39964398.310000002</v>
      </c>
      <c r="I6" s="398">
        <v>46938864.119999997</v>
      </c>
      <c r="J6" s="400">
        <f>SUM('Pt 1 Summary of Data'!K$12,'Pt 1 Summary of Data'!K$22)+SUM('Pt 1 Summary of Data'!M$12,'Pt 1 Summary of Data'!M$22)-SUM('Pt 1 Summary of Data'!N$12,'Pt 1 Summary of Data'!N$22)</f>
        <v>54066326.850000001</v>
      </c>
      <c r="K6" s="400">
        <f>SUM(H6:J6)</f>
        <v>140969589.28</v>
      </c>
      <c r="L6" s="401">
        <f>SUM('Pt 1 Summary of Data'!O$12,'Pt 1 Summary of Data'!O$22)</f>
        <v>0</v>
      </c>
      <c r="M6" s="397">
        <v>134222346.38999999</v>
      </c>
      <c r="N6" s="398">
        <v>141036055.62</v>
      </c>
      <c r="O6" s="400">
        <f>SUM('Pt 1 Summary of Data'!Q$12,'Pt 1 Summary of Data'!Q$22)+SUM('Pt 1 Summary of Data'!S$12,'Pt 1 Summary of Data'!S$22)-SUM('Pt 1 Summary of Data'!T$12,'Pt 1 Summary of Data'!T$22)</f>
        <v>149210211.40000001</v>
      </c>
      <c r="P6" s="400">
        <f>SUM(M6:O6)</f>
        <v>424468613.40999997</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v>9336.654700000001</v>
      </c>
      <c r="AL6" s="398">
        <v>49486.943400000011</v>
      </c>
      <c r="AM6" s="400">
        <f>SUM('Pt 1 Summary of Data'!AO$12,'Pt 1 Summary of Data'!AO$22)+SUM('Pt 1 Summary of Data'!AQ$12,'Pt 1 Summary of Data'!AQ$22)-SUM('Pt 1 Summary of Data'!AR$12,'Pt 1 Summary of Data'!AR$22)</f>
        <v>0</v>
      </c>
      <c r="AN6" s="430">
        <f>SUM(AK6:AM6)</f>
        <v>58823.59810000001</v>
      </c>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940500.89</v>
      </c>
      <c r="I7" s="398">
        <v>1093245.7</v>
      </c>
      <c r="J7" s="400">
        <f>SUM('Pt 1 Summary of Data'!K$37:K$41)+SUM('Pt 1 Summary of Data'!M$37:M$41)-SUM('Pt 1 Summary of Data'!N$37:N$41)+MAX(0,MIN('Pt 1 Summary of Data'!K$42+'Pt 1 Summary of Data'!M$42-'Pt 1 Summary of Data'!N$42,0.3%*('Pt 1 Summary of Data'!K$5+'Pt 1 Summary of Data'!M$5-'Pt 1 Summary of Data'!N$5-SUM(J$10:J$11))))</f>
        <v>1047931.86</v>
      </c>
      <c r="K7" s="400">
        <f>SUM(H7:J7)</f>
        <v>3081678.4499999997</v>
      </c>
      <c r="L7" s="401">
        <f>SUM('Pt 1 Summary of Data'!O$37:O$41)+MAX(0,MIN(VALUE('Pt 1 Summary of Data'!O$42),0.3%*('Pt 1 Summary of Data'!O$5-L$10)))</f>
        <v>0</v>
      </c>
      <c r="M7" s="397">
        <v>2637209.15</v>
      </c>
      <c r="N7" s="398">
        <v>2395181.39</v>
      </c>
      <c r="O7" s="400">
        <f>SUM('Pt 1 Summary of Data'!Q$37:Q$41)+SUM('Pt 1 Summary of Data'!S$37:S$41)-SUM('Pt 1 Summary of Data'!T$37:T$41)+MAX(0,MIN('Pt 1 Summary of Data'!Q$42+'Pt 1 Summary of Data'!S$42-'Pt 1 Summary of Data'!T$42,0.3%*('Pt 1 Summary of Data'!Q$5+'Pt 1 Summary of Data'!S$5-'Pt 1 Summary of Data'!T$5)))</f>
        <v>2222880.23</v>
      </c>
      <c r="P7" s="400">
        <f>SUM(M7:O7)</f>
        <v>7255270.7699999996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v>524.65</v>
      </c>
      <c r="AL7" s="398">
        <v>0</v>
      </c>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524.65</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540251.68000000005</v>
      </c>
      <c r="J10" s="400">
        <f>'Pt 2 Premium and Claims'!K$16+'Pt 2 Premium and Claims'!M$16-'Pt 2 Premium and Claims'!N$16</f>
        <v>707127.26</v>
      </c>
      <c r="K10" s="400">
        <f>SUM(H10:J10)</f>
        <v>1247378.94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40904899.200000003</v>
      </c>
      <c r="I12" s="400">
        <f>SUM(I$6:I$7) - SUM(I$10:I$11)+IF(AND(OR('Company Information'!$C$12="District of Columbia",'Company Information'!$C$12="Massachusetts",'Company Information'!$C$12="Vermont"),SUM($H$6:$K$11,$H$15:$K$16,$H$38:$I$38)&lt;&gt;0),SUM(D$6:D$7) - SUM(D$8:D$11),0)</f>
        <v>47491858.140000001</v>
      </c>
      <c r="J12" s="400">
        <f>SUM(J$6:J$7)-SUM(J$10:J$11)+IF(AND(OR('Company Information'!$C$12="District of Columbia",'Company Information'!$C$12="Massachusetts",'Company Information'!$C$12="Vermont"),SUM($H$6:$K$11,$H$15:$K$16,$H$38:$I$38)&lt;&gt;0),SUM(E$6:E$7)-SUM(E$8:E$11),0)</f>
        <v>54407131.450000003</v>
      </c>
      <c r="K12" s="400">
        <f>IFERROR(SUM(H$12:J$12)+H$17*MAX(0,J$50-H$50)+I$17*MAX(0,J$50-I$50),0)</f>
        <v>142803888.79000002</v>
      </c>
      <c r="L12" s="447"/>
      <c r="M12" s="399">
        <f>SUM(M$6:M$7)</f>
        <v>136859555.53999999</v>
      </c>
      <c r="N12" s="400">
        <f>SUM(N$6:N$7)</f>
        <v>143431237.00999999</v>
      </c>
      <c r="O12" s="400">
        <f>SUM(O$6:O$7)</f>
        <v>151433091.63</v>
      </c>
      <c r="P12" s="400">
        <f>SUM(M$12:O$12)+M$17*MAX(0,O$50-M$50)+N$17*MAX(0,O$50-N$50)</f>
        <v>431723884.17999995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11340.500405000001</v>
      </c>
      <c r="AL13" s="400">
        <f>SUM(AL$6:AL$7)</f>
        <v>49486.943400000011</v>
      </c>
      <c r="AM13" s="400">
        <f>SUM(AM$6:AM$7)</f>
        <v>0</v>
      </c>
      <c r="AN13" s="430">
        <f>SUM(AN$6:AN$7)</f>
        <v>59348.248100000012</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f>
        <v>0</v>
      </c>
      <c r="F15" s="395">
        <f>SUM(C15:E15)</f>
        <v>0</v>
      </c>
      <c r="G15" s="396">
        <f>SUM('Pt 1 Summary of Data'!I$5:I$7)-SUM(G$9:G$10)</f>
        <v>0</v>
      </c>
      <c r="H15" s="402">
        <v>46216882.899999999</v>
      </c>
      <c r="I15" s="403">
        <v>57012295.920000002</v>
      </c>
      <c r="J15" s="395">
        <f>SUM('Pt 1 Summary of Data'!K$5:K$7)+SUM('Pt 1 Summary of Data'!M$5:M$7)-SUM('Pt 1 Summary of Data'!N$5:N$7)-SUM(J$10:J$11)</f>
        <v>62690257.200000003</v>
      </c>
      <c r="K15" s="395">
        <f>SUM(H15:J15)</f>
        <v>165919436.01999998</v>
      </c>
      <c r="L15" s="396">
        <f>SUM('Pt 1 Summary of Data'!O$5:O$7)-L$10</f>
        <v>0</v>
      </c>
      <c r="M15" s="402">
        <v>161278760.38</v>
      </c>
      <c r="N15" s="403">
        <v>160488334.86000001</v>
      </c>
      <c r="O15" s="395">
        <f>SUM('Pt 1 Summary of Data'!Q$5:Q$7)+SUM('Pt 1 Summary of Data'!S$5:S$7)-SUM('Pt 1 Summary of Data'!T$5:T$7)+N$56</f>
        <v>168951167.88999999</v>
      </c>
      <c r="P15" s="395">
        <f>SUM(M15:O15)</f>
        <v>490718263.13</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v>14635.301192700001</v>
      </c>
      <c r="AL15" s="403">
        <v>41400.702059100004</v>
      </c>
      <c r="AM15" s="395">
        <f>SUM('Pt 1 Summary of Data'!AO$5:AO$7)+SUM('Pt 1 Summary of Data'!AQ$5:AQ$7)-SUM('Pt 1 Summary of Data'!AR$5:AR$7)+AL$56</f>
        <v>0</v>
      </c>
      <c r="AN15" s="431">
        <f>SUM(AK15:AM15)</f>
        <v>56036.003251800008</v>
      </c>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255457.05</v>
      </c>
      <c r="I16" s="398">
        <v>1669574.39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1854149.51</v>
      </c>
      <c r="K16" s="400">
        <f>SUM(H16:J16)</f>
        <v>3779180.95</v>
      </c>
      <c r="L16" s="401">
        <f>SUM('Pt 1 Summary of Data'!O$25:O$28,'Pt 1 Summary of Data'!O$30,'Pt 1 Summary of Data'!O$34:O$35)+IF('Company Information'!$C$15="No",IF(MAX('Pt 1 Summary of Data'!O$31:O$32)=0,MIN('Pt 1 Summary of Data'!O$31:O$32),MAX('Pt 1 Summary of Data'!O$31:O$32)),SUM('Pt 1 Summary of Data'!O$31:O$32))</f>
        <v>0</v>
      </c>
      <c r="M16" s="397">
        <v>1412258.46</v>
      </c>
      <c r="N16" s="398">
        <v>6124090.4500000002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3802872.6800000006</v>
      </c>
      <c r="P16" s="400">
        <f>SUM(M16:O16)</f>
        <v>11339221.59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v>0</v>
      </c>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45961425.850000001</v>
      </c>
      <c r="I17" s="400">
        <f>I$15-I$16+IF(AND(OR('Company Information'!$C$12="District of Columbia",'Company Information'!$C$12="Massachusetts",'Company Information'!$C$12="Vermont"),SUM($H$6:$K$11,$H$15:$K$16,$H$38:$I$38)&lt;&gt;0),D$15-D$16,0)</f>
        <v>55342721.530000001</v>
      </c>
      <c r="J17" s="400">
        <f>J$15-J$16+IF(AND(OR('Company Information'!$C$12="District of Columbia",'Company Information'!$C$12="Massachusetts",'Company Information'!$C$12="Vermont"),SUM($H$6:$K$11,$H$15:$K$16,$H$38:$I$38)&lt;&gt;0),E$15-E$16,0)</f>
        <v>60836107.690000005</v>
      </c>
      <c r="K17" s="400">
        <f>K$15-K$16+IF(AND(OR('Company Information'!$C$12="District of Columbia",'Company Information'!$C$12="Massachusetts",'Company Information'!$C$12="Vermont"),SUM($H$6:$K$11,$H$15:$K$16,$H$38:$I$38)&lt;&gt;0),F$15-F$16,0)</f>
        <v>162140255.06999999</v>
      </c>
      <c r="L17" s="450"/>
      <c r="M17" s="399">
        <f>M$15-M$16</f>
        <v>159866501.91999999</v>
      </c>
      <c r="N17" s="400">
        <f>N$15-N$16</f>
        <v>154364244.41000003</v>
      </c>
      <c r="O17" s="400">
        <f>O$15-O$16</f>
        <v>165148295.20999998</v>
      </c>
      <c r="P17" s="400">
        <f>P$15-P$16</f>
        <v>479379041.54000002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14635.301192700001</v>
      </c>
      <c r="AL17" s="400">
        <f>AL$15-AL$16</f>
        <v>41400.702059100004</v>
      </c>
      <c r="AM17" s="400">
        <f>AM$15-AM$16</f>
        <v>0</v>
      </c>
      <c r="AN17" s="430">
        <f>AN$15-AN$16</f>
        <v>56036.003251800008</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10718</v>
      </c>
      <c r="I38" s="405">
        <v>13034.67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13628.916666666666</v>
      </c>
      <c r="K38" s="432">
        <f>SUM(H$38:J$38)+IF(AND(OR('Company Information'!$C$12="District of Columbia",'Company Information'!$C$12="Massachusetts",'Company Information'!$C$12="Vermont"),SUM($H$6:$K$11,$H$15:$K$16,$H$38:$I$38)&lt;&gt;0,SUM(H$38:I$38)&lt;&gt;SUM(C$38:D$38)),SUM(C$38:D$38),0)</f>
        <v>37381.586666666662</v>
      </c>
      <c r="L38" s="448"/>
      <c r="M38" s="404">
        <v>29412</v>
      </c>
      <c r="N38" s="405">
        <v>28112.080000000002</v>
      </c>
      <c r="O38" s="432">
        <f>('Pt 1 Summary of Data'!Q$59+'Pt 1 Summary of Data'!S$59-'Pt 1 Summary of Data'!T$59)/12</f>
        <v>29941.333333333332</v>
      </c>
      <c r="P38" s="432">
        <f>SUM(M$38:O$38)</f>
        <v>87465.41333333333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v>10</v>
      </c>
      <c r="AL38" s="405">
        <v>27</v>
      </c>
      <c r="AM38" s="432">
        <f>('Pt 1 Summary of Data'!AO$59+'Pt 1 Summary of Data'!AQ$59-'Pt 1 Summary of Data'!AR$59)/12</f>
        <v>0</v>
      </c>
      <c r="AN38" s="433">
        <f>SUM(AK38:AM38)</f>
        <v>37</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1.4018946133333335E-2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v>2726</v>
      </c>
      <c r="L40" s="447"/>
      <c r="M40" s="443"/>
      <c r="N40" s="441"/>
      <c r="O40" s="441"/>
      <c r="P40" s="398">
        <v>2208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1.1855152</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 ca="1">IF(OR(K$38&lt;1000,K$38&gt;=75000),0,K$39*K$41)</f>
        <v>1.6619673729047896E-2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f>IF(OR(H$38&lt;1000,H$17&lt;=0),"",H$12/H$17)</f>
        <v>0.88998325103092946</v>
      </c>
      <c r="I45" s="436">
        <f>IF(OR(I$38&lt;1000,I$17&lt;=0),"",I$12/I$17)</f>
        <v>0.85814099536568278</v>
      </c>
      <c r="J45" s="436">
        <f>IF(OR(J$38&lt;1000,J$17&lt;=0),"",J$12/J$17)</f>
        <v>0.89432301828447236</v>
      </c>
      <c r="K45" s="436">
        <f>IF(OR(K$38&lt;1000,K$17&lt;=0),"",K$12/K$17)</f>
        <v>0.88074296372821181</v>
      </c>
      <c r="L45" s="447"/>
      <c r="M45" s="438">
        <f>IF(OR(M$38&lt;1000,M$17&lt;=0),"",M$12/M$17)</f>
        <v>0.85608650903293626</v>
      </c>
      <c r="N45" s="436">
        <f>IF(OR(N$38&lt;1000,N$17&lt;=0),"",N$12/N$17)</f>
        <v>0.92917396485314718</v>
      </c>
      <c r="O45" s="436">
        <f>IF(OR(O$38&lt;1000,O$17&lt;=0),"",O$12/O$17)</f>
        <v>0.91695219401108596</v>
      </c>
      <c r="P45" s="436">
        <f>IF(OR(P$38&lt;1000,P$17&lt;=0),"",P$12/P$17)</f>
        <v>0.90058981884792377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t="str">
        <f>IF(F$45="","",F$42)</f>
        <v/>
      </c>
      <c r="G47" s="447"/>
      <c r="H47" s="443"/>
      <c r="I47" s="441"/>
      <c r="J47" s="441"/>
      <c r="K47" s="436">
        <f ca="1">IF(K$45="","",K$42)</f>
        <v>1.6619673729047896E-2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t="str">
        <f>IF(F$45="","",ROUND(F$45+MAX(0,F$47),3))</f>
        <v/>
      </c>
      <c r="G48" s="447"/>
      <c r="H48" s="443"/>
      <c r="I48" s="441"/>
      <c r="J48" s="441"/>
      <c r="K48" s="436">
        <f ca="1">IF(K$45="","",ROUND(K$45+MAX(0,K$47),3))</f>
        <v>0.89700000000000002</v>
      </c>
      <c r="L48" s="447"/>
      <c r="M48" s="443"/>
      <c r="N48" s="441"/>
      <c r="O48" s="441"/>
      <c r="P48" s="436">
        <f>IF(P$45="","",ROUND(P$45+MAX(0,P$47),3))</f>
        <v>0.90100000000000002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tr">
        <f>F$48</f>
        <v/>
      </c>
      <c r="G51" s="447"/>
      <c r="H51" s="444"/>
      <c r="I51" s="442"/>
      <c r="J51" s="442"/>
      <c r="K51" s="436">
        <f ca="1">K$48</f>
        <v>0.89700000000000002</v>
      </c>
      <c r="L51" s="447"/>
      <c r="M51" s="444"/>
      <c r="N51" s="442"/>
      <c r="O51" s="442"/>
      <c r="P51" s="436">
        <f>P$48</f>
        <v>0.90100000000000002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t="str">
        <f>IF(F$38&lt;1000,"",MAX(0,E$15-E$16))</f>
        <v/>
      </c>
      <c r="G52" s="447"/>
      <c r="H52" s="443"/>
      <c r="I52" s="441"/>
      <c r="J52" s="441"/>
      <c r="K52" s="400">
        <f>IF(K$38&lt;1000,"",MAX(0,J$15-J$16))</f>
        <v>60836107.690000005</v>
      </c>
      <c r="L52" s="447"/>
      <c r="M52" s="443"/>
      <c r="N52" s="441"/>
      <c r="O52" s="441"/>
      <c r="P52" s="400">
        <f>IF(P$38&lt;1000,"",MAX(0,O$15-O$16))</f>
        <v>165148295.20999998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164766.79</v>
      </c>
      <c r="I56" s="441"/>
      <c r="J56" s="441"/>
      <c r="K56" s="441"/>
      <c r="L56" s="447"/>
      <c r="M56" s="397">
        <v>495316.65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904.51</v>
      </c>
      <c r="I57" s="441"/>
      <c r="J57" s="441"/>
      <c r="K57" s="441"/>
      <c r="L57" s="447"/>
      <c r="M57" s="397">
        <v>4314.05</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1" stopIfTrue="1" operator="lessThan">
      <formula>0</formula>
    </cfRule>
  </conditionalFormatting>
  <conditionalFormatting sqref="C15:C16">
    <cfRule type="cellIs" dxfId="61" priority="64" stopIfTrue="1" operator="lessThan">
      <formula>0</formula>
    </cfRule>
  </conditionalFormatting>
  <conditionalFormatting sqref="C5:C7">
    <cfRule type="cellIs" dxfId="60" priority="65" stopIfTrue="1" operator="lessThan">
      <formula>0</formula>
    </cfRule>
  </conditionalFormatting>
  <conditionalFormatting sqref="H15:H16">
    <cfRule type="cellIs" dxfId="59" priority="48" stopIfTrue="1" operator="lessThan">
      <formula>0</formula>
    </cfRule>
  </conditionalFormatting>
  <conditionalFormatting sqref="Q38">
    <cfRule type="cellIs" dxfId="58" priority="38" stopIfTrue="1" operator="lessThan">
      <formula>0</formula>
    </cfRule>
  </conditionalFormatting>
  <conditionalFormatting sqref="M38">
    <cfRule type="cellIs" dxfId="57" priority="42" stopIfTrue="1" operator="lessThan">
      <formula>0</formula>
    </cfRule>
  </conditionalFormatting>
  <conditionalFormatting sqref="H50:K50">
    <cfRule type="cellIs" dxfId="56" priority="45" stopIfTrue="1" operator="lessThan">
      <formula>0</formula>
    </cfRule>
  </conditionalFormatting>
  <conditionalFormatting sqref="Q50:T50">
    <cfRule type="cellIs" dxfId="55" priority="37" stopIfTrue="1" operator="lessThan">
      <formula>0</formula>
    </cfRule>
  </conditionalFormatting>
  <conditionalFormatting sqref="M5:M7">
    <cfRule type="cellIs" dxfId="54" priority="44" stopIfTrue="1" operator="lessThan">
      <formula>0</formula>
    </cfRule>
  </conditionalFormatting>
  <conditionalFormatting sqref="C50:F50">
    <cfRule type="cellIs" dxfId="53" priority="50" stopIfTrue="1" operator="lessThan">
      <formula>0</formula>
    </cfRule>
  </conditionalFormatting>
  <conditionalFormatting sqref="H5:H7">
    <cfRule type="cellIs" dxfId="52" priority="49" stopIfTrue="1" operator="lessThan">
      <formula>0</formula>
    </cfRule>
  </conditionalFormatting>
  <conditionalFormatting sqref="H38">
    <cfRule type="cellIs" dxfId="51" priority="46" stopIfTrue="1" operator="lessThan">
      <formula>0</formula>
    </cfRule>
  </conditionalFormatting>
  <conditionalFormatting sqref="M15:M16">
    <cfRule type="cellIs" dxfId="50" priority="43" stopIfTrue="1" operator="lessThan">
      <formula>0</formula>
    </cfRule>
  </conditionalFormatting>
  <conditionalFormatting sqref="M50:P50">
    <cfRule type="cellIs" dxfId="49" priority="41" stopIfTrue="1" operator="lessThan">
      <formula>0</formula>
    </cfRule>
  </conditionalFormatting>
  <conditionalFormatting sqref="Q5:Q7">
    <cfRule type="cellIs" dxfId="48" priority="40" stopIfTrue="1" operator="lessThan">
      <formula>0</formula>
    </cfRule>
  </conditionalFormatting>
  <conditionalFormatting sqref="Q15:Q16">
    <cfRule type="cellIs" dxfId="47" priority="39" stopIfTrue="1" operator="lessThan">
      <formula>0</formula>
    </cfRule>
  </conditionalFormatting>
  <conditionalFormatting sqref="U5:U7">
    <cfRule type="cellIs" dxfId="46" priority="36" stopIfTrue="1" operator="lessThan">
      <formula>0</formula>
    </cfRule>
  </conditionalFormatting>
  <conditionalFormatting sqref="U15:U16">
    <cfRule type="cellIs" dxfId="45" priority="35" stopIfTrue="1" operator="lessThan">
      <formula>0</formula>
    </cfRule>
  </conditionalFormatting>
  <conditionalFormatting sqref="U38">
    <cfRule type="cellIs" dxfId="44" priority="34" stopIfTrue="1" operator="lessThan">
      <formula>0</formula>
    </cfRule>
  </conditionalFormatting>
  <conditionalFormatting sqref="U50:X50">
    <cfRule type="cellIs" dxfId="43" priority="33" stopIfTrue="1" operator="lessThan">
      <formula>0</formula>
    </cfRule>
  </conditionalFormatting>
  <conditionalFormatting sqref="Y5:Y7">
    <cfRule type="cellIs" dxfId="42" priority="32" stopIfTrue="1" operator="lessThan">
      <formula>0</formula>
    </cfRule>
  </conditionalFormatting>
  <conditionalFormatting sqref="Y15:Y16">
    <cfRule type="cellIs" dxfId="41" priority="31" stopIfTrue="1" operator="lessThan">
      <formula>0</formula>
    </cfRule>
  </conditionalFormatting>
  <conditionalFormatting sqref="Y38">
    <cfRule type="cellIs" dxfId="40" priority="30" stopIfTrue="1" operator="lessThan">
      <formula>0</formula>
    </cfRule>
  </conditionalFormatting>
  <conditionalFormatting sqref="Y50:AB50">
    <cfRule type="cellIs" dxfId="39" priority="29" stopIfTrue="1" operator="lessThan">
      <formula>0</formula>
    </cfRule>
  </conditionalFormatting>
  <conditionalFormatting sqref="G35">
    <cfRule type="cellIs" dxfId="37" priority="24" stopIfTrue="1" operator="lessThan">
      <formula>0</formula>
    </cfRule>
  </conditionalFormatting>
  <conditionalFormatting sqref="G36">
    <cfRule type="cellIs" dxfId="36" priority="23" stopIfTrue="1" operator="lessThan">
      <formula>0</formula>
    </cfRule>
  </conditionalFormatting>
  <conditionalFormatting sqref="C56">
    <cfRule type="cellIs" dxfId="35" priority="22" stopIfTrue="1" operator="lessThan">
      <formula>0</formula>
    </cfRule>
  </conditionalFormatting>
  <conditionalFormatting sqref="C57">
    <cfRule type="cellIs" dxfId="34" priority="21" stopIfTrue="1" operator="lessThan">
      <formula>0</formula>
    </cfRule>
  </conditionalFormatting>
  <conditionalFormatting sqref="AK5:AK7">
    <cfRule type="cellIs" dxfId="33" priority="20" stopIfTrue="1" operator="lessThan">
      <formula>0</formula>
    </cfRule>
  </conditionalFormatting>
  <conditionalFormatting sqref="AK15:AK16">
    <cfRule type="cellIs" dxfId="32" priority="19" stopIfTrue="1" operator="lessThan">
      <formula>0</formula>
    </cfRule>
  </conditionalFormatting>
  <conditionalFormatting sqref="AK38">
    <cfRule type="cellIs" dxfId="31" priority="18" stopIfTrue="1" operator="lessThan">
      <formula>0</formula>
    </cfRule>
  </conditionalFormatting>
  <conditionalFormatting sqref="H56">
    <cfRule type="cellIs" dxfId="29" priority="16" stopIfTrue="1" operator="lessThan">
      <formula>0</formula>
    </cfRule>
  </conditionalFormatting>
  <conditionalFormatting sqref="H57">
    <cfRule type="cellIs" dxfId="28" priority="15" stopIfTrue="1" operator="lessThan">
      <formula>0</formula>
    </cfRule>
  </conditionalFormatting>
  <conditionalFormatting sqref="M56">
    <cfRule type="cellIs" dxfId="27" priority="14" stopIfTrue="1" operator="lessThan">
      <formula>0</formula>
    </cfRule>
  </conditionalFormatting>
  <conditionalFormatting sqref="M57">
    <cfRule type="cellIs" dxfId="26" priority="13" stopIfTrue="1" operator="lessThan">
      <formula>0</formula>
    </cfRule>
  </conditionalFormatting>
  <conditionalFormatting sqref="Q56">
    <cfRule type="cellIs" dxfId="25" priority="12" stopIfTrue="1" operator="lessThan">
      <formula>0</formula>
    </cfRule>
  </conditionalFormatting>
  <conditionalFormatting sqref="Q57">
    <cfRule type="cellIs" dxfId="24" priority="11" stopIfTrue="1" operator="lessThan">
      <formula>0</formula>
    </cfRule>
  </conditionalFormatting>
  <conditionalFormatting sqref="U56">
    <cfRule type="cellIs" dxfId="23" priority="10" stopIfTrue="1" operator="lessThan">
      <formula>0</formula>
    </cfRule>
  </conditionalFormatting>
  <conditionalFormatting sqref="U57">
    <cfRule type="cellIs" dxfId="22" priority="9" stopIfTrue="1" operator="lessThan">
      <formula>0</formula>
    </cfRule>
  </conditionalFormatting>
  <conditionalFormatting sqref="Y56">
    <cfRule type="cellIs" dxfId="21" priority="8" stopIfTrue="1" operator="lessThan">
      <formula>0</formula>
    </cfRule>
  </conditionalFormatting>
  <conditionalFormatting sqref="Y57">
    <cfRule type="cellIs" dxfId="20" priority="7" stopIfTrue="1" operator="lessThan">
      <formula>0</formula>
    </cfRule>
  </conditionalFormatting>
  <conditionalFormatting sqref="AK56">
    <cfRule type="cellIs" dxfId="19" priority="6" stopIfTrue="1" operator="lessThan">
      <formula>0</formula>
    </cfRule>
  </conditionalFormatting>
  <conditionalFormatting sqref="AK57">
    <cfRule type="cellIs" dxfId="18" priority="5" stopIfTrue="1" operator="lessThan">
      <formula>0</formula>
    </cfRule>
  </conditionalFormatting>
  <conditionalFormatting sqref="L35">
    <cfRule type="cellIs" dxfId="17" priority="4" stopIfTrue="1" operator="lessThan">
      <formula>0</formula>
    </cfRule>
  </conditionalFormatting>
  <conditionalFormatting sqref="L36">
    <cfRule type="cellIs" dxfId="16" priority="3" stopIfTrue="1" operator="lessThan">
      <formula>0</formula>
    </cfRule>
  </conditionalFormatting>
  <conditionalFormatting sqref="AL50:AN50">
    <cfRule type="cellIs" dxfId="3" priority="2" stopIfTrue="1" operator="lessThan">
      <formula>0</formula>
    </cfRule>
  </conditionalFormatting>
  <conditionalFormatting sqref="AK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7282</v>
      </c>
      <c r="E4" s="104">
        <f>'Pt 1 Summary of Data'!$Q$56+'Pt 1 Summary of Data'!$S$56-'Pt 1 Summary of Data'!$T$56</f>
        <v>12232</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t="s">
        <v>514</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515</v>
      </c>
      <c r="E34" s="7"/>
    </row>
    <row r="35" spans="2:5" ht="35.25" customHeight="1" x14ac:dyDescent="0.2">
      <c r="B35" s="134"/>
      <c r="C35" s="113"/>
      <c r="D35" s="137" t="s">
        <v>516</v>
      </c>
      <c r="E35" s="7"/>
    </row>
    <row r="36" spans="2:5" ht="35.25" customHeight="1" x14ac:dyDescent="0.2">
      <c r="B36" s="134"/>
      <c r="C36" s="113"/>
      <c r="D36" s="137" t="s">
        <v>517</v>
      </c>
      <c r="E36" s="7"/>
    </row>
    <row r="37" spans="2:5" ht="35.25" customHeight="1" x14ac:dyDescent="0.2">
      <c r="B37" s="134"/>
      <c r="C37" s="113"/>
      <c r="D37" s="137" t="s">
        <v>518</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522</v>
      </c>
      <c r="E56" s="7"/>
    </row>
    <row r="57" spans="2:5" ht="35.25" customHeight="1" x14ac:dyDescent="0.2">
      <c r="B57" s="134"/>
      <c r="C57" s="115"/>
      <c r="D57" s="137" t="s">
        <v>523</v>
      </c>
      <c r="E57" s="7"/>
    </row>
    <row r="58" spans="2:5" ht="35.25" customHeight="1" x14ac:dyDescent="0.2">
      <c r="B58" s="134"/>
      <c r="C58" s="115"/>
      <c r="D58" s="137" t="s">
        <v>524</v>
      </c>
      <c r="E58" s="7"/>
    </row>
    <row r="59" spans="2:5" ht="35.25" customHeight="1" x14ac:dyDescent="0.2">
      <c r="B59" s="134"/>
      <c r="C59" s="115"/>
      <c r="D59" s="137" t="s">
        <v>525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522</v>
      </c>
      <c r="E67" s="7"/>
    </row>
    <row r="68" spans="2:5" ht="35.25" customHeight="1" x14ac:dyDescent="0.2">
      <c r="B68" s="134"/>
      <c r="C68" s="115"/>
      <c r="D68" s="137" t="s">
        <v>523</v>
      </c>
      <c r="E68" s="7"/>
    </row>
    <row r="69" spans="2:5" ht="35.25" customHeight="1" x14ac:dyDescent="0.2">
      <c r="B69" s="134"/>
      <c r="C69" s="115"/>
      <c r="D69" s="137" t="s">
        <v>524</v>
      </c>
      <c r="E69" s="7"/>
    </row>
    <row r="70" spans="2:5" ht="35.25" customHeight="1" x14ac:dyDescent="0.2">
      <c r="B70" s="134"/>
      <c r="C70" s="115"/>
      <c r="D70" s="137" t="s">
        <v>525</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522</v>
      </c>
      <c r="E78" s="7"/>
    </row>
    <row r="79" spans="2:5" ht="35.25" customHeight="1" x14ac:dyDescent="0.2">
      <c r="B79" s="134"/>
      <c r="C79" s="115"/>
      <c r="D79" s="137" t="s">
        <v>523</v>
      </c>
      <c r="E79" s="7"/>
    </row>
    <row r="80" spans="2:5" ht="35.25" customHeight="1" x14ac:dyDescent="0.2">
      <c r="B80" s="134"/>
      <c r="C80" s="115"/>
      <c r="D80" s="137" t="s">
        <v>524</v>
      </c>
      <c r="E80" s="7"/>
    </row>
    <row r="81" spans="2:5" ht="35.25" customHeight="1" x14ac:dyDescent="0.2">
      <c r="B81" s="134"/>
      <c r="C81" s="115"/>
      <c r="D81" s="137" t="s">
        <v>525</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522</v>
      </c>
      <c r="E89" s="7"/>
    </row>
    <row r="90" spans="2:5" ht="35.25" customHeight="1" x14ac:dyDescent="0.2">
      <c r="B90" s="134"/>
      <c r="C90" s="115"/>
      <c r="D90" s="137" t="s">
        <v>523</v>
      </c>
      <c r="E90" s="7"/>
    </row>
    <row r="91" spans="2:5" ht="35.25" customHeight="1" x14ac:dyDescent="0.2">
      <c r="B91" s="134"/>
      <c r="C91" s="115"/>
      <c r="D91" s="137" t="s">
        <v>524</v>
      </c>
      <c r="E91" s="7"/>
    </row>
    <row r="92" spans="2:5" ht="35.25" customHeight="1" x14ac:dyDescent="0.2">
      <c r="B92" s="134"/>
      <c r="C92" s="115"/>
      <c r="D92" s="137" t="s">
        <v>525</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526</v>
      </c>
      <c r="E100" s="7"/>
    </row>
    <row r="101" spans="2:5" ht="35.25" customHeight="1" x14ac:dyDescent="0.2">
      <c r="B101" s="134"/>
      <c r="C101" s="115"/>
      <c r="D101" s="137" t="s">
        <v>527</v>
      </c>
      <c r="E101" s="7"/>
    </row>
    <row r="102" spans="2:5" ht="35.25" customHeight="1" x14ac:dyDescent="0.2">
      <c r="B102" s="134"/>
      <c r="C102" s="115"/>
      <c r="D102" s="137" t="s">
        <v>528</v>
      </c>
      <c r="E102" s="7"/>
    </row>
    <row r="103" spans="2:5" ht="35.25" customHeight="1" x14ac:dyDescent="0.2">
      <c r="B103" s="134"/>
      <c r="C103" s="115"/>
      <c r="D103" s="137" t="s">
        <v>529</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522</v>
      </c>
      <c r="E111" s="27"/>
    </row>
    <row r="112" spans="2:5" s="5" customFormat="1" ht="35.25" customHeight="1" x14ac:dyDescent="0.2">
      <c r="B112" s="134"/>
      <c r="C112" s="115"/>
      <c r="D112" s="137" t="s">
        <v>523</v>
      </c>
      <c r="E112" s="27"/>
    </row>
    <row r="113" spans="2:5" s="5" customFormat="1" ht="35.25" customHeight="1" x14ac:dyDescent="0.2">
      <c r="B113" s="134"/>
      <c r="C113" s="115"/>
      <c r="D113" s="137" t="s">
        <v>524</v>
      </c>
      <c r="E113" s="27"/>
    </row>
    <row r="114" spans="2:5" s="5" customFormat="1" ht="35.25" customHeight="1" x14ac:dyDescent="0.2">
      <c r="B114" s="134"/>
      <c r="C114" s="115"/>
      <c r="D114" s="137" t="s">
        <v>525</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522</v>
      </c>
      <c r="E123" s="7"/>
    </row>
    <row r="124" spans="2:5" s="5" customFormat="1" ht="35.25" customHeight="1" x14ac:dyDescent="0.2">
      <c r="B124" s="134"/>
      <c r="C124" s="113"/>
      <c r="D124" s="137" t="s">
        <v>523</v>
      </c>
      <c r="E124" s="27"/>
    </row>
    <row r="125" spans="2:5" s="5" customFormat="1" ht="35.25" customHeight="1" x14ac:dyDescent="0.2">
      <c r="B125" s="134"/>
      <c r="C125" s="113"/>
      <c r="D125" s="137" t="s">
        <v>524</v>
      </c>
      <c r="E125" s="27"/>
    </row>
    <row r="126" spans="2:5" s="5" customFormat="1" ht="35.25" customHeight="1" x14ac:dyDescent="0.2">
      <c r="B126" s="134"/>
      <c r="C126" s="113"/>
      <c r="D126" s="137" t="s">
        <v>525</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522</v>
      </c>
      <c r="E134" s="27"/>
    </row>
    <row r="135" spans="2:5" s="5" customFormat="1" ht="35.25" customHeight="1" x14ac:dyDescent="0.2">
      <c r="B135" s="134"/>
      <c r="C135" s="113"/>
      <c r="D135" s="137" t="s">
        <v>523</v>
      </c>
      <c r="E135" s="27"/>
    </row>
    <row r="136" spans="2:5" s="5" customFormat="1" ht="35.25" customHeight="1" x14ac:dyDescent="0.2">
      <c r="B136" s="134"/>
      <c r="C136" s="113"/>
      <c r="D136" s="137" t="s">
        <v>524</v>
      </c>
      <c r="E136" s="27"/>
    </row>
    <row r="137" spans="2:5" s="5" customFormat="1" ht="35.25" customHeight="1" x14ac:dyDescent="0.2">
      <c r="B137" s="134"/>
      <c r="C137" s="113"/>
      <c r="D137" s="137" t="s">
        <v>525</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523</v>
      </c>
      <c r="E145" s="27"/>
    </row>
    <row r="146" spans="2:5" s="5" customFormat="1" ht="35.25" customHeight="1" x14ac:dyDescent="0.2">
      <c r="B146" s="134"/>
      <c r="C146" s="113"/>
      <c r="D146" s="137" t="s">
        <v>524</v>
      </c>
      <c r="E146" s="27"/>
    </row>
    <row r="147" spans="2:5" s="5" customFormat="1" ht="35.25" customHeight="1" x14ac:dyDescent="0.2">
      <c r="B147" s="134"/>
      <c r="C147" s="113"/>
      <c r="D147" s="137" t="s">
        <v>525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523</v>
      </c>
      <c r="E167" s="27"/>
    </row>
    <row r="168" spans="2:5" s="5" customFormat="1" ht="35.25" customHeight="1" x14ac:dyDescent="0.2">
      <c r="B168" s="134"/>
      <c r="C168" s="113"/>
      <c r="D168" s="137" t="s">
        <v>524</v>
      </c>
      <c r="E168" s="27"/>
    </row>
    <row r="169" spans="2:5" s="5" customFormat="1" ht="35.25" customHeight="1" x14ac:dyDescent="0.2">
      <c r="B169" s="134"/>
      <c r="C169" s="113"/>
      <c r="D169" s="137" t="s">
        <v>525</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523</v>
      </c>
      <c r="E178" s="27"/>
    </row>
    <row r="179" spans="2:5" s="5" customFormat="1" ht="35.25" customHeight="1" x14ac:dyDescent="0.2">
      <c r="B179" s="134"/>
      <c r="C179" s="113"/>
      <c r="D179" s="137" t="s">
        <v>524</v>
      </c>
      <c r="E179" s="27"/>
    </row>
    <row r="180" spans="2:5" s="5" customFormat="1" ht="35.25" customHeight="1" x14ac:dyDescent="0.2">
      <c r="B180" s="134"/>
      <c r="C180" s="113"/>
      <c r="D180" s="137" t="s">
        <v>525</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522</v>
      </c>
      <c r="E200" s="27"/>
    </row>
    <row r="201" spans="2:5" s="5" customFormat="1" ht="35.25" customHeight="1" x14ac:dyDescent="0.2">
      <c r="B201" s="134"/>
      <c r="C201" s="113"/>
      <c r="D201" s="137" t="s">
        <v>523</v>
      </c>
      <c r="E201" s="27"/>
    </row>
    <row r="202" spans="2:5" s="5" customFormat="1" ht="35.25" customHeight="1" x14ac:dyDescent="0.2">
      <c r="B202" s="134"/>
      <c r="C202" s="113"/>
      <c r="D202" s="137" t="s">
        <v>524</v>
      </c>
      <c r="E202" s="27"/>
    </row>
    <row r="203" spans="2:5" s="5" customFormat="1" ht="35.25" customHeight="1" x14ac:dyDescent="0.2">
      <c r="B203" s="134"/>
      <c r="C203" s="113"/>
      <c r="D203" s="137" t="s">
        <v>525</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2016-07-28T12:04:14Z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