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AB39" i="10" s="1"/>
  <c r="Z46" i="10"/>
  <c r="Y46" i="10"/>
  <c r="X46" i="10"/>
  <c r="W46" i="10"/>
  <c r="V46" i="10"/>
  <c r="U46" i="10"/>
  <c r="T46" i="10"/>
  <c r="S46" i="10"/>
  <c r="R46" i="10"/>
  <c r="Q46" i="10"/>
  <c r="O45" i="10"/>
  <c r="N45" i="10"/>
  <c r="M45" i="10"/>
  <c r="AB42" i="10"/>
  <c r="X42" i="10"/>
  <c r="T42" i="10"/>
  <c r="P42" i="10"/>
  <c r="AB41" i="10"/>
  <c r="X41" i="10"/>
  <c r="T41" i="10"/>
  <c r="P41" i="10"/>
  <c r="K41" i="10"/>
  <c r="F41" i="10"/>
  <c r="X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P12" i="10" s="1"/>
  <c r="P45" i="10" s="1"/>
  <c r="AB16" i="10"/>
  <c r="AA16" i="10"/>
  <c r="X16" i="10"/>
  <c r="W16" i="10"/>
  <c r="W13" i="10" s="1"/>
  <c r="T16" i="10"/>
  <c r="S16" i="10"/>
  <c r="P16" i="10"/>
  <c r="O16" i="10"/>
  <c r="L16" i="10"/>
  <c r="K16" i="10"/>
  <c r="J16" i="10"/>
  <c r="G16" i="10"/>
  <c r="F16" i="10"/>
  <c r="E16" i="10"/>
  <c r="AB15" i="10"/>
  <c r="AA15" i="10"/>
  <c r="X15" i="10"/>
  <c r="W15" i="10"/>
  <c r="V13" i="10" s="1"/>
  <c r="T15" i="10"/>
  <c r="S15" i="10"/>
  <c r="P15" i="10"/>
  <c r="O15" i="10"/>
  <c r="L15" i="10"/>
  <c r="AB13" i="10"/>
  <c r="AA13" i="10"/>
  <c r="Z13" i="10"/>
  <c r="Y13" i="10"/>
  <c r="U13" i="10"/>
  <c r="S13" i="10"/>
  <c r="R13" i="10"/>
  <c r="Q13"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S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Y12" i="4" s="1"/>
  <c r="X54" i="18"/>
  <c r="X12" i="4" s="1"/>
  <c r="W54" i="18"/>
  <c r="W12" i="4" s="1"/>
  <c r="V54" i="18"/>
  <c r="V12" i="4" s="1"/>
  <c r="U54" i="18"/>
  <c r="U12" i="4" s="1"/>
  <c r="T54" i="18"/>
  <c r="T12" i="4" s="1"/>
  <c r="S54" i="18"/>
  <c r="R54" i="18"/>
  <c r="R12" i="4" s="1"/>
  <c r="Q54" i="18"/>
  <c r="Q12" i="4" s="1"/>
  <c r="P54" i="18"/>
  <c r="P12" i="4" s="1"/>
  <c r="O54" i="18"/>
  <c r="O12" i="4" s="1"/>
  <c r="N54" i="18"/>
  <c r="N12" i="4" s="1"/>
  <c r="M54" i="18"/>
  <c r="M12" i="4" s="1"/>
  <c r="L54" i="18"/>
  <c r="L12" i="4" s="1"/>
  <c r="K54" i="18"/>
  <c r="J54" i="18"/>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I22" i="4"/>
  <c r="S12" i="4"/>
  <c r="K12" i="4"/>
  <c r="J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E15" i="10" l="1"/>
  <c r="J15" i="10"/>
  <c r="F15" i="10"/>
  <c r="K15" i="10"/>
  <c r="E7" i="10"/>
  <c r="G15" i="10"/>
  <c r="G32" i="10" s="1"/>
  <c r="J7" i="10"/>
  <c r="P47" i="10"/>
  <c r="P48" i="10" s="1"/>
  <c r="P51" i="10" s="1"/>
  <c r="P53" i="10" s="1"/>
  <c r="E11" i="16" s="1"/>
  <c r="L30" i="10"/>
  <c r="L31" i="10" s="1"/>
  <c r="L29" i="10" s="1"/>
  <c r="L33" i="10" s="1"/>
  <c r="L34" i="10" s="1"/>
  <c r="L21" i="10"/>
  <c r="L26" i="10" s="1"/>
  <c r="L25" i="10" s="1"/>
  <c r="L28" i="10" s="1"/>
  <c r="T39" i="10"/>
  <c r="P39" i="10"/>
  <c r="T13" i="10"/>
  <c r="X13" i="10"/>
  <c r="G27" i="10" l="1"/>
  <c r="G24" i="10"/>
  <c r="G20" i="10"/>
  <c r="G23" i="10"/>
  <c r="F7" i="10"/>
  <c r="D17" i="10"/>
  <c r="D45" i="10" s="1"/>
  <c r="C17" i="10"/>
  <c r="C45" i="10" s="1"/>
  <c r="E38" i="10"/>
  <c r="E17" i="10"/>
  <c r="G19" i="10"/>
  <c r="K7" i="10"/>
  <c r="I12" i="10" s="1"/>
  <c r="I17" i="10"/>
  <c r="I45" i="10" s="1"/>
  <c r="J12" i="10"/>
  <c r="F17" i="10"/>
  <c r="G22" i="10"/>
  <c r="H17" i="10" l="1"/>
  <c r="J38" i="10"/>
  <c r="H12" i="10"/>
  <c r="C12" i="10"/>
  <c r="D12" i="10"/>
  <c r="K17" i="10"/>
  <c r="H45" i="10"/>
  <c r="K12" i="10"/>
  <c r="J17" i="10"/>
  <c r="F38" i="10"/>
  <c r="E45" i="10"/>
  <c r="E12" i="10"/>
  <c r="G30" i="10"/>
  <c r="G31" i="10" s="1"/>
  <c r="G29" i="10" s="1"/>
  <c r="G33" i="10" s="1"/>
  <c r="G34" i="10" s="1"/>
  <c r="G21" i="10"/>
  <c r="G26" i="10" s="1"/>
  <c r="G25" i="10" s="1"/>
  <c r="G28" i="10" s="1"/>
  <c r="F12" i="10" l="1"/>
  <c r="F53" i="10"/>
  <c r="C11" i="16" s="1"/>
  <c r="F52" i="10"/>
  <c r="F42" i="10"/>
  <c r="F45" i="10"/>
  <c r="F39" i="10"/>
  <c r="K38" i="10"/>
  <c r="J45" i="10"/>
  <c r="K52" i="10" l="1"/>
  <c r="K39" i="10"/>
  <c r="K42" i="10" s="1"/>
  <c r="F47" i="10"/>
  <c r="F48" i="10"/>
  <c r="F51" i="10" s="1"/>
  <c r="K45" i="10"/>
  <c r="K47" i="10" l="1"/>
  <c r="K48" i="10" s="1"/>
  <c r="K51" i="10" s="1"/>
  <c r="K53" i="10" s="1"/>
  <c r="D11" i="16" s="1"/>
</calcChain>
</file>

<file path=xl/sharedStrings.xml><?xml version="1.0" encoding="utf-8"?>
<sst xmlns="http://schemas.openxmlformats.org/spreadsheetml/2006/main" count="573" uniqueCount="511">
  <si>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</si>
  <si>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</si>
  <si>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</si>
  <si>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</si>
  <si>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</si>
  <si>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</si>
  <si>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</si>
  <si>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</si>
  <si>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</si>
  <si>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</si>
  <si>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</si>
  <si>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</si>
  <si>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</si>
  <si>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</si>
  <si>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</si>
  <si>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</si>
  <si>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</si>
  <si>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</si>
  <si>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</si>
  <si>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</si>
  <si>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</si>
  <si>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</si>
  <si>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</si>
  <si>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</si>
  <si>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</si>
  <si>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</si>
  <si>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</si>
  <si>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</si>
  <si>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</si>
  <si>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</si>
  <si>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</si>
  <si>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</si>
  <si>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</si>
  <si>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</si>
  <si>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</si>
  <si>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</si>
  <si>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</si>
  <si>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</si>
  <si>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</si>
  <si>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</si>
  <si>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</si>
  <si>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</si>
  <si>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</si>
  <si>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</si>
  <si>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</si>
  <si>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</si>
  <si>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</si>
  <si>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</si>
  <si>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</si>
  <si>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</si>
  <si>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</si>
  <si>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</si>
  <si>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</si>
  <si>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</si>
  <si>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</si>
  <si>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</si>
  <si>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</si>
  <si>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</si>
  <si>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</si>
  <si>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</si>
  <si>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</si>
  <si>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</si>
  <si>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</si>
  <si>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</si>
  <si>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</si>
  <si>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</si>
  <si>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</si>
  <si>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</si>
  <si>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</si>
  <si>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</si>
  <si>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</si>
  <si>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</si>
  <si>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</si>
  <si>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</si>
  <si>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</si>
  <si>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</si>
  <si>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</si>
  <si>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</si>
  <si>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</si>
  <si>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</si>
  <si>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</si>
  <si>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</si>
  <si>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</si>
  <si>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</si>
  <si>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</si>
  <si>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</si>
  <si>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</si>
  <si>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</si>
  <si>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</si>
  <si>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</si>
  <si>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</si>
  <si>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</si>
  <si>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</si>
  <si>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</si>
  <si>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</si>
  <si>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</si>
  <si>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</si>
  <si>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</si>
  <si>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</si>
  <si>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</si>
  <si>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</si>
  <si>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</si>
  <si>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</si>
  <si>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</si>
  <si>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</si>
  <si>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</si>
  <si>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</si>
  <si>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</si>
  <si>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</si>
  <si>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</si>
  <si>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</si>
  <si>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</si>
  <si>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</si>
  <si>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</si>
  <si>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</si>
  <si>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</si>
  <si>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</si>
  <si>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</si>
  <si>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</si>
  <si>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</si>
  <si>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</si>
  <si>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</si>
  <si>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</si>
  <si>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</si>
  <si>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</si>
  <si>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</si>
  <si>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</si>
  <si>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</si>
  <si>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</si>
  <si>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</si>
  <si>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</si>
  <si>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</si>
  <si>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</si>
  <si>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</si>
  <si>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</si>
  <si>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</si>
  <si>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</si>
  <si>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</si>
  <si>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</si>
  <si>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</si>
  <si>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</si>
  <si>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</si>
  <si>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</si>
  <si>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</si>
  <si>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</si>
  <si>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</si>
  <si>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</si>
  <si>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</si>
  <si>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</si>
  <si>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</si>
  <si>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</si>
  <si>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</si>
  <si>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</si>
  <si>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</si>
  <si>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</si>
  <si>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</si>
  <si>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</si>
  <si>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</si>
  <si>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</si>
  <si>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</si>
  <si>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</si>
  <si>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</si>
  <si>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</si>
  <si>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</si>
  <si>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</si>
  <si>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</si>
  <si>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</si>
  <si>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</si>
  <si>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</si>
  <si>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</si>
  <si>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</si>
  <si>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</si>
  <si>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</si>
  <si>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</si>
  <si>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</si>
  <si>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</si>
  <si>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</si>
  <si>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</si>
  <si>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</si>
  <si>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</si>
  <si>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</si>
  <si>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</si>
  <si>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</si>
  <si>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</si>
  <si>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</si>
  <si>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</si>
  <si>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</si>
  <si>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</si>
  <si>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</si>
  <si>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</si>
  <si>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</si>
  <si>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</si>
  <si>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</si>
  <si>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</si>
  <si>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</si>
  <si>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</si>
  <si>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</si>
  <si>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</si>
  <si>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</si>
  <si>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</si>
  <si>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</si>
  <si>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</si>
  <si>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</si>
  <si>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</si>
  <si>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</si>
  <si>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</si>
  <si>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</si>
  <si>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</si>
  <si>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</si>
  <si>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</si>
  <si>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</si>
  <si>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</si>
  <si>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</si>
  <si>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</si>
  <si>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</si>
  <si>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</si>
  <si>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</si>
  <si>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</si>
  <si>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</si>
  <si>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</si>
  <si>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</si>
  <si>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</si>
  <si>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</si>
  <si>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</si>
  <si>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</si>
  <si>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</si>
  <si>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</si>
  <si>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</si>
  <si>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</si>
  <si>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</si>
  <si>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</si>
  <si>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</si>
  <si>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</si>
  <si>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</si>
  <si>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</si>
  <si>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</si>
  <si>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</si>
  <si>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</si>
  <si>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</si>
  <si>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</si>
  <si>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</si>
  <si>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</si>
  <si>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</si>
  <si>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</si>
  <si>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</si>
  <si>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</si>
  <si>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</si>
  <si>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</si>
  <si>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</si>
  <si>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</si>
  <si>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</si>
  <si>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</si>
  <si>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</si>
  <si>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</si>
  <si>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</si>
  <si>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</si>
  <si>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</si>
  <si>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</si>
  <si>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</si>
  <si>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</si>
  <si>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</si>
  <si>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</si>
  <si>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</si>
  <si>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</si>
  <si>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</si>
  <si>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</si>
  <si>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</si>
  <si>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</si>
  <si>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</si>
  <si>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</si>
  <si>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</si>
  <si>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</si>
  <si>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</si>
  <si>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</si>
  <si>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</si>
  <si>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</si>
  <si>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</si>
  <si>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</si>
  <si>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</si>
  <si>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</si>
  <si>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</si>
  <si>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</si>
  <si>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</si>
  <si>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</si>
  <si>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</si>
  <si>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</si>
  <si>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</si>
  <si>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</si>
  <si>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</si>
  <si>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</si>
  <si>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</si>
  <si>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</si>
  <si>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</si>
  <si>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</si>
  <si>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</si>
  <si>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</si>
  <si>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</si>
  <si>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</si>
  <si>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</si>
  <si>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</si>
  <si>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</si>
  <si>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</si>
  <si>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</si>
  <si>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</si>
  <si>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</si>
  <si>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</si>
  <si>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</si>
  <si>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</si>
  <si>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</si>
  <si>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</si>
  <si>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</si>
  <si>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</si>
  <si>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</si>
  <si>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</si>
  <si>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</si>
  <si>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</si>
  <si>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</si>
  <si>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</si>
  <si>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</si>
  <si>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</si>
  <si>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</si>
  <si>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</si>
  <si>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</si>
  <si>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</si>
  <si>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</si>
  <si>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</si>
  <si>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</si>
  <si>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</si>
  <si>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</si>
  <si>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</si>
  <si>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</si>
  <si>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</si>
  <si>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</si>
  <si>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</si>
  <si>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</si>
  <si>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</si>
  <si>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</si>
  <si>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</si>
  <si>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</si>
  <si>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</si>
  <si>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</si>
  <si>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</si>
  <si>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</si>
  <si>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</si>
  <si>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</si>
  <si>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</si>
  <si>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</si>
  <si>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</si>
  <si>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</si>
  <si>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</si>
  <si>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</si>
  <si>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</si>
  <si>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</si>
  <si>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</si>
  <si>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</si>
  <si>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</si>
  <si>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</si>
  <si>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</si>
  <si>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</si>
  <si>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</si>
  <si>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</si>
  <si>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</si>
  <si>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</si>
  <si>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</si>
  <si>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</si>
  <si>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</si>
  <si>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</si>
  <si>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</si>
  <si>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</si>
  <si>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</si>
  <si>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</si>
  <si>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</si>
  <si>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</si>
  <si>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</si>
  <si>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</si>
  <si>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</si>
  <si>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</si>
  <si>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</si>
  <si>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</si>
  <si>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</si>
  <si>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</si>
  <si>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</si>
  <si>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</si>
  <si>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</si>
  <si>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</si>
  <si>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</si>
  <si>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</si>
  <si>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</si>
  <si>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</si>
  <si>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</si>
  <si>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</si>
  <si>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</si>
  <si>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</si>
  <si>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</si>
  <si>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</si>
  <si>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</si>
  <si>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</si>
  <si>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</si>
  <si>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</si>
  <si>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</si>
  <si>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</si>
  <si>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</si>
  <si>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</si>
  <si>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</si>
  <si>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</si>
  <si>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</si>
  <si>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</si>
  <si>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</si>
  <si>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</si>
  <si>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</si>
  <si>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</si>
  <si>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</si>
  <si>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</si>
  <si>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</si>
  <si>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</si>
  <si>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</si>
  <si>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</si>
  <si>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</si>
  <si>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</si>
  <si>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</si>
  <si>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</si>
  <si>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</si>
  <si>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</si>
  <si>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</si>
  <si>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</si>
  <si>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</si>
  <si>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</si>
  <si>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</si>
  <si>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</si>
  <si>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</si>
  <si>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</si>
  <si>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</si>
  <si>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</si>
  <si>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</si>
  <si>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</si>
  <si>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</si>
  <si>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</si>
  <si>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</si>
  <si>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</si>
  <si>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</si>
  <si>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</si>
  <si>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</si>
  <si>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</si>
  <si>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</si>
  <si>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</si>
  <si>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</si>
  <si>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</si>
  <si>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</si>
  <si>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</si>
  <si>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</si>
  <si>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</si>
  <si>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</si>
  <si>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</si>
  <si>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</si>
  <si>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</si>
  <si>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</si>
  <si>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</si>
  <si>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</si>
  <si>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</si>
  <si>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</si>
  <si>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</si>
  <si>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</si>
  <si>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</si>
  <si>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</si>
  <si>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</si>
  <si>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</si>
  <si>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</si>
  <si>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</si>
  <si>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</si>
  <si>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</si>
  <si>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</si>
  <si>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</si>
  <si>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</si>
  <si>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</si>
  <si>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</si>
  <si>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</si>
  <si>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</si>
  <si>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</si>
  <si>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</si>
  <si>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</si>
  <si>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</si>
  <si>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</si>
  <si>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</si>
  <si>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</si>
  <si>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</si>
  <si>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</si>
  <si>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</si>
  <si>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</si>
  <si>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</si>
  <si>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</si>
  <si>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</si>
  <si>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</si>
  <si>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</si>
  <si>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</si>
  <si>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</si>
  <si>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</si>
  <si>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Wisconsin Health Organization Insurance Corporation</t>
  </si>
  <si>
    <t>HUMANA GRP</t>
  </si>
  <si>
    <t>Humana</t>
  </si>
  <si>
    <t>119</t>
  </si>
  <si>
    <t>2015</t>
  </si>
  <si>
    <t>N19W24133 Riverwood Drive, Two Riverwood Place, Suite 300 Waukesha, WI 53188-1145</t>
  </si>
  <si>
    <t>391525003</t>
  </si>
  <si>
    <t>095342</t>
  </si>
  <si>
    <t>95342</t>
  </si>
  <si>
    <t>55103</t>
  </si>
  <si>
    <t>221</t>
  </si>
  <si>
    <t>Humana Insurance Company</t>
  </si>
  <si>
    <t>Humana Employers Health Plan of Georgia, Inc.</t>
  </si>
  <si>
    <t>Humana Medical Plan, Inc.</t>
  </si>
  <si>
    <t>Humana Health Insurance Company of Florida,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</si>
</sst>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192</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57501834</v>
      </c>
      <c r="K5" s="213">
        <f>SUM('Pt 2 Premium and Claims'!K$5,'Pt 2 Premium and Claims'!K$6,-'Pt 2 Premium and Claims'!K$7,-'Pt 2 Premium and Claims'!K$13,'Pt 2 Premium and Claims'!K$14,'Pt 2 Premium and Claims'!K$16:'Pt 2 Premium and Claims'!K$17)</f>
        <v>63397653.076023199</v>
      </c>
      <c r="L5" s="213">
        <f>SUM('Pt 2 Premium and Claims'!L$5,'Pt 2 Premium and Claims'!L$6,-'Pt 2 Premium and Claims'!L$7,-'Pt 2 Premium and Claims'!L$13,'Pt 2 Premium and Claims'!L$14,'Pt 2 Premium and Claims'!L$16:'Pt 2 Premium and Claims'!L$17)</f>
        <v>7643823.5199999996</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155703462</v>
      </c>
      <c r="Q5" s="213">
        <f>SUM('Pt 2 Premium and Claims'!Q$5,'Pt 2 Premium and Claims'!Q$6,-'Pt 2 Premium and Claims'!Q$7,-'Pt 2 Premium and Claims'!Q$13,'Pt 2 Premium and Claims'!Q$14)</f>
        <v>168951611.19749409</v>
      </c>
      <c r="R5" s="213">
        <f>SUM('Pt 2 Premium and Claims'!R$5,'Pt 2 Premium and Claims'!R$6,-'Pt 2 Premium and Claims'!R$7,-'Pt 2 Premium and Claims'!R$13,'Pt 2 Premium and Claims'!R$14)</f>
        <v>11222809.76</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381125602</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v>-268.62</v>
      </c>
      <c r="L7" s="217">
        <v>-268.62</v>
      </c>
      <c r="M7" s="217"/>
      <c r="N7" s="217"/>
      <c r="O7" s="216"/>
      <c r="P7" s="216">
        <v>0</v>
      </c>
      <c r="Q7" s="217">
        <v>-443.31</v>
      </c>
      <c r="R7" s="217">
        <v>-443.31</v>
      </c>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-105498</v>
      </c>
      <c r="K8" s="268"/>
      <c r="L8" s="269"/>
      <c r="M8" s="269"/>
      <c r="N8" s="269"/>
      <c r="O8" s="272"/>
      <c r="P8" s="216">
        <v>-197359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-10510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48323479</v>
      </c>
      <c r="K12" s="213">
        <f>'Pt 2 Premium and Claims'!K$54</f>
        <v>53973046.485082082</v>
      </c>
      <c r="L12" s="213">
        <f>'Pt 2 Premium and Claims'!L$54</f>
        <v>6373294.9729499305</v>
      </c>
      <c r="M12" s="213">
        <f>'Pt 2 Premium and Claims'!M$54</f>
        <v>0</v>
      </c>
      <c r="N12" s="213">
        <f>'Pt 2 Premium and Claims'!N$54</f>
        <v>0</v>
      </c>
      <c r="O12" s="212">
        <f>'Pt 2 Premium and Claims'!O$54</f>
        <v>0</v>
      </c>
      <c r="P12" s="212">
        <f>'Pt 2 Premium and Claims'!P$54</f>
        <v>142005278</v>
      </c>
      <c r="Q12" s="213">
        <f>'Pt 2 Premium and Claims'!Q$54</f>
        <v>148988886.35488334</v>
      </c>
      <c r="R12" s="213">
        <f>'Pt 2 Premium and Claims'!R$54</f>
        <v>9595816.5435076542</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0</v>
      </c>
      <c r="AU12" s="214">
        <f>'Pt 2 Premium and Claims'!AU$54</f>
        <v>346845556</v>
      </c>
      <c r="AV12" s="291"/>
      <c r="AW12" s="296"/>
    </row>
    <row r="13" spans="1:49" ht="25.5" x14ac:dyDescent="0.2">
      <c r="B13" s="239" t="s">
        <v>230</v>
      </c>
      <c r="C13" s="203" t="s">
        <v>37</v>
      </c>
      <c r="D13" s="216">
        <v>0</v>
      </c>
      <c r="E13" s="217">
        <v>0</v>
      </c>
      <c r="F13" s="217"/>
      <c r="G13" s="268"/>
      <c r="H13" s="269"/>
      <c r="I13" s="216"/>
      <c r="J13" s="216">
        <v>8705707</v>
      </c>
      <c r="K13" s="217">
        <v>8433400.0528948195</v>
      </c>
      <c r="L13" s="217"/>
      <c r="M13" s="268"/>
      <c r="N13" s="269"/>
      <c r="O13" s="216"/>
      <c r="P13" s="216">
        <v>13791872</v>
      </c>
      <c r="Q13" s="217">
        <v>14014933.109734925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46475606</v>
      </c>
      <c r="AV13" s="290"/>
      <c r="AW13" s="297"/>
    </row>
    <row r="14" spans="1:49" ht="25.5" x14ac:dyDescent="0.2">
      <c r="B14" s="239" t="s">
        <v>231</v>
      </c>
      <c r="C14" s="203" t="s">
        <v>6</v>
      </c>
      <c r="D14" s="216">
        <v>0</v>
      </c>
      <c r="E14" s="217">
        <v>0</v>
      </c>
      <c r="F14" s="217"/>
      <c r="G14" s="267"/>
      <c r="H14" s="270"/>
      <c r="I14" s="216"/>
      <c r="J14" s="216">
        <v>1186078</v>
      </c>
      <c r="K14" s="217">
        <v>1130369.3583554595</v>
      </c>
      <c r="L14" s="217"/>
      <c r="M14" s="267"/>
      <c r="N14" s="270"/>
      <c r="O14" s="216"/>
      <c r="P14" s="216">
        <v>1802704</v>
      </c>
      <c r="Q14" s="217">
        <v>1895704.3259255651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14529538</v>
      </c>
      <c r="AV14" s="290"/>
      <c r="AW14" s="297"/>
    </row>
    <row r="15" spans="1:49" ht="38.25" x14ac:dyDescent="0.2">
      <c r="B15" s="239" t="s">
        <v>232</v>
      </c>
      <c r="C15" s="203" t="s">
        <v>7</v>
      </c>
      <c r="D15" s="216">
        <v>0</v>
      </c>
      <c r="E15" s="217"/>
      <c r="F15" s="217"/>
      <c r="G15" s="267"/>
      <c r="H15" s="273"/>
      <c r="I15" s="216"/>
      <c r="J15" s="216">
        <v>10398</v>
      </c>
      <c r="K15" s="217">
        <v>13942.411010011374</v>
      </c>
      <c r="L15" s="217">
        <v>3955.0891147619068</v>
      </c>
      <c r="M15" s="267"/>
      <c r="N15" s="273"/>
      <c r="O15" s="216"/>
      <c r="P15" s="216">
        <v>27525</v>
      </c>
      <c r="Q15" s="217">
        <v>33687.158989988624</v>
      </c>
      <c r="R15" s="217">
        <v>5751.8508852380937</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27404</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-1249000</v>
      </c>
      <c r="K17" s="267"/>
      <c r="L17" s="270"/>
      <c r="M17" s="270"/>
      <c r="N17" s="270"/>
      <c r="O17" s="271"/>
      <c r="P17" s="216">
        <v>2052000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-2222000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85194.04</v>
      </c>
      <c r="K22" s="222">
        <f>'Pt 2 Premium and Claims'!K$55</f>
        <v>93280.368104755005</v>
      </c>
      <c r="L22" s="222">
        <f>'Pt 2 Premium and Claims'!L$55</f>
        <v>4799.3100000000004</v>
      </c>
      <c r="M22" s="222">
        <f>'Pt 2 Premium and Claims'!M$55</f>
        <v>0</v>
      </c>
      <c r="N22" s="222">
        <f>'Pt 2 Premium and Claims'!N$55</f>
        <v>0</v>
      </c>
      <c r="O22" s="221">
        <f>'Pt 2 Premium and Claims'!O$55</f>
        <v>0</v>
      </c>
      <c r="P22" s="221">
        <f>'Pt 2 Premium and Claims'!P$55</f>
        <v>201230.82</v>
      </c>
      <c r="Q22" s="222">
        <f>'Pt 2 Premium and Claims'!Q$55</f>
        <v>221325.05189524501</v>
      </c>
      <c r="R22" s="222">
        <f>'Pt 2 Premium and Claims'!R$55</f>
        <v>10079.14</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c r="H25" s="217"/>
      <c r="I25" s="216"/>
      <c r="J25" s="216">
        <v>246742.8</v>
      </c>
      <c r="K25" s="217">
        <v>-23349.81305358504</v>
      </c>
      <c r="L25" s="217">
        <v>46471.533229744884</v>
      </c>
      <c r="M25" s="217"/>
      <c r="N25" s="217"/>
      <c r="O25" s="216"/>
      <c r="P25" s="216">
        <v>-838855.74</v>
      </c>
      <c r="Q25" s="217">
        <v>-791428.81643712521</v>
      </c>
      <c r="R25" s="217">
        <v>-269141.92946778482</v>
      </c>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c r="AU25" s="220">
        <v>-2381954.77</v>
      </c>
      <c r="AV25" s="220"/>
      <c r="AW25" s="297"/>
    </row>
    <row r="26" spans="1:49" s="5" customFormat="1" x14ac:dyDescent="0.2">
      <c r="A26" s="35"/>
      <c r="B26" s="242" t="s">
        <v>242</v>
      </c>
      <c r="C26" s="203"/>
      <c r="D26" s="216"/>
      <c r="E26" s="217"/>
      <c r="F26" s="217"/>
      <c r="G26" s="217"/>
      <c r="H26" s="217"/>
      <c r="I26" s="216"/>
      <c r="J26" s="216">
        <v>28944.05</v>
      </c>
      <c r="K26" s="217">
        <v>31937.176174822835</v>
      </c>
      <c r="L26" s="217">
        <v>4176.2871396124683</v>
      </c>
      <c r="M26" s="217"/>
      <c r="N26" s="217"/>
      <c r="O26" s="216"/>
      <c r="P26" s="216">
        <v>62764.46</v>
      </c>
      <c r="Q26" s="217">
        <v>69815.003825177162</v>
      </c>
      <c r="R26" s="217">
        <v>5867.3828603875318</v>
      </c>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983442.5</v>
      </c>
      <c r="K27" s="217">
        <v>1074064.004661256</v>
      </c>
      <c r="L27" s="217">
        <v>129441.68668836578</v>
      </c>
      <c r="M27" s="217"/>
      <c r="N27" s="217"/>
      <c r="O27" s="216"/>
      <c r="P27" s="216">
        <v>2595423.19</v>
      </c>
      <c r="Q27" s="217">
        <v>2822489.1753387437</v>
      </c>
      <c r="R27" s="217">
        <v>188245.80331163423</v>
      </c>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6374024.6200000001</v>
      </c>
      <c r="AV27" s="293"/>
      <c r="AW27" s="297"/>
    </row>
    <row r="28" spans="1:49" s="5" customFormat="1" x14ac:dyDescent="0.2">
      <c r="A28" s="35"/>
      <c r="B28" s="242" t="s">
        <v>244</v>
      </c>
      <c r="C28" s="203"/>
      <c r="D28" s="216"/>
      <c r="E28" s="217"/>
      <c r="F28" s="217"/>
      <c r="G28" s="217"/>
      <c r="H28" s="217"/>
      <c r="I28" s="216"/>
      <c r="J28" s="216">
        <v>102534.08</v>
      </c>
      <c r="K28" s="217">
        <v>111817.66529202211</v>
      </c>
      <c r="L28" s="217">
        <v>13505.87808322648</v>
      </c>
      <c r="M28" s="217"/>
      <c r="N28" s="217"/>
      <c r="O28" s="216"/>
      <c r="P28" s="216">
        <v>252973.2</v>
      </c>
      <c r="Q28" s="217">
        <v>277483.5347079779</v>
      </c>
      <c r="R28" s="217">
        <v>20288.04191677352</v>
      </c>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c r="AU28" s="220">
        <v>691624.52</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c r="H30" s="217"/>
      <c r="I30" s="216"/>
      <c r="J30" s="216">
        <v>29677.71</v>
      </c>
      <c r="K30" s="217">
        <v>16573.798665643881</v>
      </c>
      <c r="L30" s="217">
        <v>8423.4302371078593</v>
      </c>
      <c r="M30" s="217"/>
      <c r="N30" s="217"/>
      <c r="O30" s="216"/>
      <c r="P30" s="216">
        <v>-23852.42</v>
      </c>
      <c r="Q30" s="217">
        <v>-15234.190043208651</v>
      </c>
      <c r="R30" s="217">
        <v>-12909.423539139656</v>
      </c>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c r="AU30" s="220">
        <v>-68932.600000000006</v>
      </c>
      <c r="AV30" s="220"/>
      <c r="AW30" s="297"/>
    </row>
    <row r="31" spans="1:49" x14ac:dyDescent="0.2">
      <c r="B31" s="242" t="s">
        <v>247</v>
      </c>
      <c r="C31" s="203"/>
      <c r="D31" s="216"/>
      <c r="E31" s="217"/>
      <c r="F31" s="217"/>
      <c r="G31" s="217"/>
      <c r="H31" s="217"/>
      <c r="I31" s="216"/>
      <c r="J31" s="216"/>
      <c r="K31" s="217">
        <v>734.23455588114678</v>
      </c>
      <c r="L31" s="217">
        <v>734.23455588114678</v>
      </c>
      <c r="M31" s="217"/>
      <c r="N31" s="217"/>
      <c r="O31" s="216"/>
      <c r="P31" s="216"/>
      <c r="Q31" s="217">
        <v>1096.1254441188532</v>
      </c>
      <c r="R31" s="217">
        <v>1096.1254441188532</v>
      </c>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615654.89</v>
      </c>
      <c r="K34" s="217">
        <v>591043.78137780109</v>
      </c>
      <c r="L34" s="217"/>
      <c r="M34" s="217"/>
      <c r="N34" s="217"/>
      <c r="O34" s="216"/>
      <c r="P34" s="216">
        <v>1296265.23</v>
      </c>
      <c r="Q34" s="217">
        <v>1320876.3386221989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44663.37</v>
      </c>
      <c r="K35" s="217">
        <v>51328.66264211823</v>
      </c>
      <c r="L35" s="217">
        <v>8378.3558361447631</v>
      </c>
      <c r="M35" s="217"/>
      <c r="N35" s="217"/>
      <c r="O35" s="216"/>
      <c r="P35" s="216">
        <v>104140.75</v>
      </c>
      <c r="Q35" s="217">
        <v>117775.50735788177</v>
      </c>
      <c r="R35" s="217">
        <v>11921.694163855236</v>
      </c>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c r="AU35" s="220">
        <v>236539.87</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142677</v>
      </c>
      <c r="K37" s="225">
        <v>143854.50921350197</v>
      </c>
      <c r="L37" s="225">
        <v>7444.1708161490396</v>
      </c>
      <c r="M37" s="225"/>
      <c r="N37" s="225"/>
      <c r="O37" s="224"/>
      <c r="P37" s="224">
        <v>348330</v>
      </c>
      <c r="Q37" s="225">
        <v>379238.99078649806</v>
      </c>
      <c r="R37" s="225">
        <v>24642.459183850962</v>
      </c>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2925970</v>
      </c>
      <c r="AV37" s="226">
        <v>0</v>
      </c>
      <c r="AW37" s="296"/>
    </row>
    <row r="38" spans="1:49" x14ac:dyDescent="0.2">
      <c r="B38" s="239" t="s">
        <v>254</v>
      </c>
      <c r="C38" s="203" t="s">
        <v>16</v>
      </c>
      <c r="D38" s="216">
        <v>0</v>
      </c>
      <c r="E38" s="217"/>
      <c r="F38" s="217"/>
      <c r="G38" s="217"/>
      <c r="H38" s="217"/>
      <c r="I38" s="216"/>
      <c r="J38" s="216">
        <v>8775</v>
      </c>
      <c r="K38" s="217">
        <v>8746.307658913971</v>
      </c>
      <c r="L38" s="217">
        <v>637.01871256724621</v>
      </c>
      <c r="M38" s="217"/>
      <c r="N38" s="217"/>
      <c r="O38" s="216"/>
      <c r="P38" s="216">
        <v>84414</v>
      </c>
      <c r="Q38" s="217">
        <v>101913.81234108603</v>
      </c>
      <c r="R38" s="217">
        <v>16834.131287432752</v>
      </c>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1173550</v>
      </c>
      <c r="AV38" s="220">
        <v>0</v>
      </c>
      <c r="AW38" s="297"/>
    </row>
    <row r="39" spans="1:49" x14ac:dyDescent="0.2">
      <c r="B39" s="242" t="s">
        <v>255</v>
      </c>
      <c r="C39" s="203" t="s">
        <v>17</v>
      </c>
      <c r="D39" s="216">
        <v>0</v>
      </c>
      <c r="E39" s="217"/>
      <c r="F39" s="217"/>
      <c r="G39" s="217"/>
      <c r="H39" s="217"/>
      <c r="I39" s="216"/>
      <c r="J39" s="216">
        <v>84768</v>
      </c>
      <c r="K39" s="217">
        <v>83048.704558044425</v>
      </c>
      <c r="L39" s="217">
        <v>1735.1705926518334</v>
      </c>
      <c r="M39" s="217"/>
      <c r="N39" s="217"/>
      <c r="O39" s="216"/>
      <c r="P39" s="216">
        <v>155843</v>
      </c>
      <c r="Q39" s="217">
        <v>164687.79544195556</v>
      </c>
      <c r="R39" s="217">
        <v>5390.889407348167</v>
      </c>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813118</v>
      </c>
      <c r="AV39" s="220">
        <v>0</v>
      </c>
      <c r="AW39" s="297"/>
    </row>
    <row r="40" spans="1:49" x14ac:dyDescent="0.2">
      <c r="B40" s="242" t="s">
        <v>256</v>
      </c>
      <c r="C40" s="203" t="s">
        <v>38</v>
      </c>
      <c r="D40" s="216">
        <v>0</v>
      </c>
      <c r="E40" s="217"/>
      <c r="F40" s="217"/>
      <c r="G40" s="217"/>
      <c r="H40" s="217"/>
      <c r="I40" s="216"/>
      <c r="J40" s="216">
        <v>740993</v>
      </c>
      <c r="K40" s="217">
        <v>723033.45307572908</v>
      </c>
      <c r="L40" s="217">
        <v>10968.678925928998</v>
      </c>
      <c r="M40" s="217"/>
      <c r="N40" s="217"/>
      <c r="O40" s="216"/>
      <c r="P40" s="216">
        <v>1322882</v>
      </c>
      <c r="Q40" s="217">
        <v>1379885.5169242709</v>
      </c>
      <c r="R40" s="217">
        <v>28075.311074071</v>
      </c>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2800154</v>
      </c>
      <c r="AV40" s="220">
        <v>0</v>
      </c>
      <c r="AW40" s="297"/>
    </row>
    <row r="41" spans="1:49" s="5" customFormat="1" ht="25.5" x14ac:dyDescent="0.2">
      <c r="A41" s="35"/>
      <c r="B41" s="242" t="s">
        <v>257</v>
      </c>
      <c r="C41" s="203" t="s">
        <v>129</v>
      </c>
      <c r="D41" s="216">
        <v>0</v>
      </c>
      <c r="E41" s="217"/>
      <c r="F41" s="217"/>
      <c r="G41" s="217"/>
      <c r="H41" s="217"/>
      <c r="I41" s="216"/>
      <c r="J41" s="216">
        <v>81608</v>
      </c>
      <c r="K41" s="217">
        <v>89248.885038603999</v>
      </c>
      <c r="L41" s="217">
        <v>10839.925185738657</v>
      </c>
      <c r="M41" s="217"/>
      <c r="N41" s="217"/>
      <c r="O41" s="216"/>
      <c r="P41" s="216">
        <v>178817</v>
      </c>
      <c r="Q41" s="217">
        <v>197154.10496139599</v>
      </c>
      <c r="R41" s="217">
        <v>15137.694814261342</v>
      </c>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529510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683158</v>
      </c>
      <c r="K44" s="225">
        <v>705735.92771568277</v>
      </c>
      <c r="L44" s="225">
        <v>48743.973826983711</v>
      </c>
      <c r="M44" s="225"/>
      <c r="N44" s="225"/>
      <c r="O44" s="224"/>
      <c r="P44" s="224">
        <v>1375300</v>
      </c>
      <c r="Q44" s="225">
        <v>1477672.3122843171</v>
      </c>
      <c r="R44" s="225">
        <v>76206.186173016293</v>
      </c>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4204377</v>
      </c>
      <c r="AV44" s="226">
        <v>0</v>
      </c>
      <c r="AW44" s="296"/>
    </row>
    <row r="45" spans="1:49" x14ac:dyDescent="0.2">
      <c r="B45" s="245" t="s">
        <v>261</v>
      </c>
      <c r="C45" s="203" t="s">
        <v>19</v>
      </c>
      <c r="D45" s="216">
        <v>0</v>
      </c>
      <c r="E45" s="217"/>
      <c r="F45" s="217"/>
      <c r="G45" s="217"/>
      <c r="H45" s="217"/>
      <c r="I45" s="216"/>
      <c r="J45" s="216">
        <v>397090</v>
      </c>
      <c r="K45" s="217">
        <v>417987.09412302874</v>
      </c>
      <c r="L45" s="217">
        <v>36783.356777491368</v>
      </c>
      <c r="M45" s="217"/>
      <c r="N45" s="217"/>
      <c r="O45" s="216"/>
      <c r="P45" s="216">
        <v>837231</v>
      </c>
      <c r="Q45" s="217">
        <v>908899.27587697131</v>
      </c>
      <c r="R45" s="217">
        <v>55781.533222508631</v>
      </c>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3078829</v>
      </c>
      <c r="AV45" s="220">
        <v>0</v>
      </c>
      <c r="AW45" s="297"/>
    </row>
    <row r="46" spans="1:49" x14ac:dyDescent="0.2">
      <c r="B46" s="245" t="s">
        <v>262</v>
      </c>
      <c r="C46" s="203" t="s">
        <v>20</v>
      </c>
      <c r="D46" s="216">
        <v>0</v>
      </c>
      <c r="E46" s="217"/>
      <c r="F46" s="217"/>
      <c r="G46" s="217"/>
      <c r="H46" s="217"/>
      <c r="I46" s="216"/>
      <c r="J46" s="216">
        <v>218307</v>
      </c>
      <c r="K46" s="217">
        <v>238965.86062607347</v>
      </c>
      <c r="L46" s="217">
        <v>29504.394275544844</v>
      </c>
      <c r="M46" s="217"/>
      <c r="N46" s="217"/>
      <c r="O46" s="216"/>
      <c r="P46" s="216">
        <v>552451</v>
      </c>
      <c r="Q46" s="217">
        <v>604132.54937392659</v>
      </c>
      <c r="R46" s="217">
        <v>42835.995724455155</v>
      </c>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3417988</v>
      </c>
      <c r="AV46" s="220">
        <v>0</v>
      </c>
      <c r="AW46" s="297"/>
    </row>
    <row r="47" spans="1:49" x14ac:dyDescent="0.2">
      <c r="B47" s="245" t="s">
        <v>263</v>
      </c>
      <c r="C47" s="203" t="s">
        <v>21</v>
      </c>
      <c r="D47" s="216">
        <v>0</v>
      </c>
      <c r="E47" s="217"/>
      <c r="F47" s="217"/>
      <c r="G47" s="217"/>
      <c r="H47" s="217"/>
      <c r="I47" s="216"/>
      <c r="J47" s="216">
        <v>2038649</v>
      </c>
      <c r="K47" s="217">
        <v>1967101.5861929115</v>
      </c>
      <c r="L47" s="217">
        <v>5024.9528979284387</v>
      </c>
      <c r="M47" s="217"/>
      <c r="N47" s="217"/>
      <c r="O47" s="216"/>
      <c r="P47" s="216">
        <v>2268740</v>
      </c>
      <c r="Q47" s="217">
        <v>2352860.2438070886</v>
      </c>
      <c r="R47" s="217">
        <v>7548.2071020715612</v>
      </c>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8635948</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v>0</v>
      </c>
      <c r="G49" s="217"/>
      <c r="H49" s="217"/>
      <c r="I49" s="216"/>
      <c r="J49" s="216">
        <v>-4756</v>
      </c>
      <c r="K49" s="217">
        <v>-4918.1608338567248</v>
      </c>
      <c r="L49" s="217">
        <v>-160.08575591004052</v>
      </c>
      <c r="M49" s="217"/>
      <c r="N49" s="217"/>
      <c r="O49" s="216"/>
      <c r="P49" s="216">
        <v>16482.04</v>
      </c>
      <c r="Q49" s="217">
        <v>10383.680833856724</v>
      </c>
      <c r="R49" s="217">
        <v>-6100.4342440899591</v>
      </c>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46752.11</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16064.49</v>
      </c>
      <c r="AV50" s="220"/>
      <c r="AW50" s="297"/>
    </row>
    <row r="51" spans="2:49" x14ac:dyDescent="0.2">
      <c r="B51" s="239" t="s">
        <v>266</v>
      </c>
      <c r="C51" s="203"/>
      <c r="D51" s="216">
        <v>0</v>
      </c>
      <c r="E51" s="217"/>
      <c r="F51" s="217"/>
      <c r="G51" s="217"/>
      <c r="H51" s="217"/>
      <c r="I51" s="216"/>
      <c r="J51" s="216">
        <v>3172584</v>
      </c>
      <c r="K51" s="217">
        <v>3460411.1977478601</v>
      </c>
      <c r="L51" s="217">
        <v>417583.18390860589</v>
      </c>
      <c r="M51" s="217"/>
      <c r="N51" s="217"/>
      <c r="O51" s="216"/>
      <c r="P51" s="216">
        <v>7687069</v>
      </c>
      <c r="Q51" s="217">
        <v>8436453.0022521392</v>
      </c>
      <c r="R51" s="217">
        <v>619627.91609139415</v>
      </c>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17725416</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7282</v>
      </c>
      <c r="K56" s="229">
        <v>7282</v>
      </c>
      <c r="L56" s="229">
        <v>0</v>
      </c>
      <c r="M56" s="229"/>
      <c r="N56" s="229"/>
      <c r="O56" s="228"/>
      <c r="P56" s="228">
        <v>12232</v>
      </c>
      <c r="Q56" s="229">
        <v>12232</v>
      </c>
      <c r="R56" s="229">
        <v>0</v>
      </c>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41808</v>
      </c>
      <c r="AV56" s="230">
        <v>0</v>
      </c>
      <c r="AW56" s="288"/>
    </row>
    <row r="57" spans="2:49" x14ac:dyDescent="0.2">
      <c r="B57" s="245" t="s">
        <v>272</v>
      </c>
      <c r="C57" s="203" t="s">
        <v>25</v>
      </c>
      <c r="D57" s="231">
        <v>0</v>
      </c>
      <c r="E57" s="232"/>
      <c r="F57" s="232"/>
      <c r="G57" s="232"/>
      <c r="H57" s="232"/>
      <c r="I57" s="231"/>
      <c r="J57" s="231">
        <v>13886</v>
      </c>
      <c r="K57" s="232">
        <v>13529</v>
      </c>
      <c r="L57" s="232">
        <v>1724</v>
      </c>
      <c r="M57" s="232"/>
      <c r="N57" s="232"/>
      <c r="O57" s="231"/>
      <c r="P57" s="231">
        <v>27825</v>
      </c>
      <c r="Q57" s="232">
        <v>28182</v>
      </c>
      <c r="R57" s="232">
        <v>2342</v>
      </c>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41808</v>
      </c>
      <c r="AV57" s="233">
        <v>0</v>
      </c>
      <c r="AW57" s="289"/>
    </row>
    <row r="58" spans="2:49" x14ac:dyDescent="0.2">
      <c r="B58" s="245" t="s">
        <v>273</v>
      </c>
      <c r="C58" s="203" t="s">
        <v>26</v>
      </c>
      <c r="D58" s="309"/>
      <c r="E58" s="310"/>
      <c r="F58" s="310"/>
      <c r="G58" s="310"/>
      <c r="H58" s="310"/>
      <c r="I58" s="309"/>
      <c r="J58" s="231">
        <v>594</v>
      </c>
      <c r="K58" s="232">
        <v>594</v>
      </c>
      <c r="L58" s="232"/>
      <c r="M58" s="232"/>
      <c r="N58" s="232"/>
      <c r="O58" s="231"/>
      <c r="P58" s="231">
        <v>74</v>
      </c>
      <c r="Q58" s="232">
        <v>74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c r="F59" s="232"/>
      <c r="G59" s="232"/>
      <c r="H59" s="232"/>
      <c r="I59" s="231"/>
      <c r="J59" s="231">
        <v>169839</v>
      </c>
      <c r="K59" s="232">
        <v>163547</v>
      </c>
      <c r="L59" s="232">
        <v>20129</v>
      </c>
      <c r="M59" s="232"/>
      <c r="N59" s="232"/>
      <c r="O59" s="231"/>
      <c r="P59" s="231">
        <v>353356</v>
      </c>
      <c r="Q59" s="232">
        <v>359296</v>
      </c>
      <c r="R59" s="232">
        <v>27942</v>
      </c>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478356</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14153.25</v>
      </c>
      <c r="K60" s="235">
        <f t="shared" si="0"/>
        <v>13628.916666666666</v>
      </c>
      <c r="L60" s="235">
        <f t="shared" si="0"/>
        <v>1677.4166666666667</v>
      </c>
      <c r="M60" s="235">
        <f t="shared" si="0"/>
        <v>0</v>
      </c>
      <c r="N60" s="235">
        <f t="shared" si="0"/>
        <v>0</v>
      </c>
      <c r="O60" s="234">
        <f t="shared" si="0"/>
        <v>0</v>
      </c>
      <c r="P60" s="234">
        <f t="shared" si="0"/>
        <v>29446.333333333332</v>
      </c>
      <c r="Q60" s="235">
        <f t="shared" si="0"/>
        <v>29941.333333333332</v>
      </c>
      <c r="R60" s="235">
        <f t="shared" si="0"/>
        <v>2328.5</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0</v>
      </c>
      <c r="AU60" s="236">
        <f>AU$59/12</f>
        <v>39863</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2669868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471048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c r="H5" s="328"/>
      <c r="I5" s="325"/>
      <c r="J5" s="325">
        <v>57501834</v>
      </c>
      <c r="K5" s="326">
        <v>62690525.816023201</v>
      </c>
      <c r="L5" s="326">
        <v>7643823.5199999996</v>
      </c>
      <c r="M5" s="326"/>
      <c r="N5" s="326"/>
      <c r="O5" s="325"/>
      <c r="P5" s="325">
        <v>155703462</v>
      </c>
      <c r="Q5" s="326">
        <v>168951611.19749409</v>
      </c>
      <c r="R5" s="326">
        <v>11222809.76</v>
      </c>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0</v>
      </c>
      <c r="AU5" s="327">
        <v>381125602</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-67791</v>
      </c>
      <c r="K9" s="362"/>
      <c r="L9" s="362"/>
      <c r="M9" s="362"/>
      <c r="N9" s="362"/>
      <c r="O9" s="364"/>
      <c r="P9" s="318">
        <v>-29490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-1625477</v>
      </c>
      <c r="AV9" s="368"/>
      <c r="AW9" s="374"/>
    </row>
    <row r="10" spans="2:49" ht="25.5" x14ac:dyDescent="0.2">
      <c r="B10" s="345" t="s">
        <v>83</v>
      </c>
      <c r="C10" s="331"/>
      <c r="D10" s="365"/>
      <c r="E10" s="319">
        <v>0</v>
      </c>
      <c r="F10" s="319">
        <v>0</v>
      </c>
      <c r="G10" s="319"/>
      <c r="H10" s="319"/>
      <c r="I10" s="318"/>
      <c r="J10" s="365"/>
      <c r="K10" s="319">
        <v>-67791.25</v>
      </c>
      <c r="L10" s="319">
        <v>0</v>
      </c>
      <c r="M10" s="319"/>
      <c r="N10" s="319"/>
      <c r="O10" s="318"/>
      <c r="P10" s="365"/>
      <c r="Q10" s="319">
        <v>-33896</v>
      </c>
      <c r="R10" s="319">
        <v>-4406.41</v>
      </c>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v>67791.25</v>
      </c>
      <c r="L11" s="319"/>
      <c r="M11" s="319"/>
      <c r="N11" s="319"/>
      <c r="O11" s="318"/>
      <c r="P11" s="318">
        <v>0</v>
      </c>
      <c r="Q11" s="319">
        <v>0</v>
      </c>
      <c r="R11" s="319">
        <v>0</v>
      </c>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1232039</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-1627676</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707127.26</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121</v>
      </c>
      <c r="E23" s="362"/>
      <c r="F23" s="362"/>
      <c r="G23" s="362"/>
      <c r="H23" s="362"/>
      <c r="I23" s="364"/>
      <c r="J23" s="318">
        <v>47807524</v>
      </c>
      <c r="K23" s="362"/>
      <c r="L23" s="362"/>
      <c r="M23" s="362"/>
      <c r="N23" s="362"/>
      <c r="O23" s="364"/>
      <c r="P23" s="318">
        <v>140719824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9609</v>
      </c>
      <c r="AU23" s="321">
        <v>316640508</v>
      </c>
      <c r="AV23" s="368"/>
      <c r="AW23" s="374"/>
    </row>
    <row r="24" spans="2:49" ht="28.5" customHeight="1" x14ac:dyDescent="0.2">
      <c r="B24" s="345" t="s">
        <v>114</v>
      </c>
      <c r="C24" s="331"/>
      <c r="D24" s="365"/>
      <c r="E24" s="319">
        <v>0</v>
      </c>
      <c r="F24" s="319">
        <v>0</v>
      </c>
      <c r="G24" s="319"/>
      <c r="H24" s="319"/>
      <c r="I24" s="318"/>
      <c r="J24" s="365"/>
      <c r="K24" s="319">
        <v>54395494.240000002</v>
      </c>
      <c r="L24" s="319">
        <v>6469784.6699999999</v>
      </c>
      <c r="M24" s="319"/>
      <c r="N24" s="319"/>
      <c r="O24" s="318"/>
      <c r="P24" s="365"/>
      <c r="Q24" s="319">
        <v>149101117.75</v>
      </c>
      <c r="R24" s="319">
        <v>8590339.5899999999</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4646874</v>
      </c>
      <c r="K26" s="362"/>
      <c r="L26" s="362"/>
      <c r="M26" s="362"/>
      <c r="N26" s="362"/>
      <c r="O26" s="364"/>
      <c r="P26" s="318">
        <v>12776953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39858798</v>
      </c>
      <c r="AV26" s="368"/>
      <c r="AW26" s="374"/>
    </row>
    <row r="27" spans="2:49" s="5" customFormat="1" ht="25.5" x14ac:dyDescent="0.2">
      <c r="B27" s="345" t="s">
        <v>85</v>
      </c>
      <c r="C27" s="331"/>
      <c r="D27" s="365"/>
      <c r="E27" s="319">
        <v>0</v>
      </c>
      <c r="F27" s="319">
        <v>0</v>
      </c>
      <c r="G27" s="319"/>
      <c r="H27" s="319"/>
      <c r="I27" s="318"/>
      <c r="J27" s="365"/>
      <c r="K27" s="319">
        <v>834397.62038166448</v>
      </c>
      <c r="L27" s="319">
        <v>176257.75090000001</v>
      </c>
      <c r="M27" s="319"/>
      <c r="N27" s="319"/>
      <c r="O27" s="318"/>
      <c r="P27" s="365"/>
      <c r="Q27" s="319">
        <v>1604515.6531269723</v>
      </c>
      <c r="R27" s="319">
        <v>210503.90160000001</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129</v>
      </c>
      <c r="E28" s="363"/>
      <c r="F28" s="363"/>
      <c r="G28" s="363"/>
      <c r="H28" s="363"/>
      <c r="I28" s="365"/>
      <c r="J28" s="318">
        <v>4044101</v>
      </c>
      <c r="K28" s="363"/>
      <c r="L28" s="363"/>
      <c r="M28" s="363"/>
      <c r="N28" s="363"/>
      <c r="O28" s="365"/>
      <c r="P28" s="318">
        <v>11101939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9609</v>
      </c>
      <c r="AU28" s="321">
        <v>8151501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6122</v>
      </c>
      <c r="K30" s="362"/>
      <c r="L30" s="362"/>
      <c r="M30" s="362"/>
      <c r="N30" s="362"/>
      <c r="O30" s="364"/>
      <c r="P30" s="318">
        <v>1878</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v>-6138.55</v>
      </c>
      <c r="L31" s="319"/>
      <c r="M31" s="319"/>
      <c r="N31" s="319"/>
      <c r="O31" s="318"/>
      <c r="P31" s="365"/>
      <c r="Q31" s="319">
        <v>-861.45</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12261</v>
      </c>
      <c r="K32" s="363"/>
      <c r="L32" s="363"/>
      <c r="M32" s="363"/>
      <c r="N32" s="363"/>
      <c r="O32" s="365"/>
      <c r="P32" s="318">
        <v>2739</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-67791</v>
      </c>
      <c r="K38" s="362"/>
      <c r="L38" s="362"/>
      <c r="M38" s="362"/>
      <c r="N38" s="362"/>
      <c r="O38" s="364"/>
      <c r="P38" s="318">
        <v>-29490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-1625477</v>
      </c>
      <c r="AV38" s="368"/>
      <c r="AW38" s="374"/>
    </row>
    <row r="39" spans="2:49" ht="28.15" customHeight="1" x14ac:dyDescent="0.2">
      <c r="B39" s="345" t="s">
        <v>86</v>
      </c>
      <c r="C39" s="331"/>
      <c r="D39" s="365"/>
      <c r="E39" s="319">
        <v>0</v>
      </c>
      <c r="F39" s="319">
        <v>0</v>
      </c>
      <c r="G39" s="319"/>
      <c r="H39" s="319"/>
      <c r="I39" s="318"/>
      <c r="J39" s="365"/>
      <c r="K39" s="319">
        <v>-67791.25</v>
      </c>
      <c r="L39" s="319">
        <v>0</v>
      </c>
      <c r="M39" s="319"/>
      <c r="N39" s="319"/>
      <c r="O39" s="318"/>
      <c r="P39" s="365"/>
      <c r="Q39" s="319">
        <v>-33896</v>
      </c>
      <c r="R39" s="319">
        <v>-4406.41</v>
      </c>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1232039</v>
      </c>
      <c r="AV41" s="368"/>
      <c r="AW41" s="374"/>
    </row>
    <row r="42" spans="2:49" s="5" customFormat="1" ht="25.5" x14ac:dyDescent="0.2">
      <c r="B42" s="345" t="s">
        <v>92</v>
      </c>
      <c r="C42" s="331"/>
      <c r="D42" s="365"/>
      <c r="E42" s="319"/>
      <c r="F42" s="319"/>
      <c r="G42" s="319"/>
      <c r="H42" s="319"/>
      <c r="I42" s="318"/>
      <c r="J42" s="365"/>
      <c r="K42" s="319">
        <v>67791.25</v>
      </c>
      <c r="L42" s="319"/>
      <c r="M42" s="319"/>
      <c r="N42" s="319"/>
      <c r="O42" s="318"/>
      <c r="P42" s="365"/>
      <c r="Q42" s="319">
        <v>0</v>
      </c>
      <c r="R42" s="319">
        <v>0</v>
      </c>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-1627676</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94266</v>
      </c>
      <c r="K49" s="319">
        <v>1130369.3583554595</v>
      </c>
      <c r="L49" s="319"/>
      <c r="M49" s="319"/>
      <c r="N49" s="319"/>
      <c r="O49" s="318"/>
      <c r="P49" s="318">
        <v>665855</v>
      </c>
      <c r="Q49" s="319">
        <v>1895704.3259255651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3394875</v>
      </c>
      <c r="AV49" s="368"/>
      <c r="AW49" s="374"/>
    </row>
    <row r="50" spans="2:49" x14ac:dyDescent="0.2">
      <c r="B50" s="343" t="s">
        <v>119</v>
      </c>
      <c r="C50" s="331" t="s">
        <v>34</v>
      </c>
      <c r="D50" s="318">
        <v>9</v>
      </c>
      <c r="E50" s="363"/>
      <c r="F50" s="363"/>
      <c r="G50" s="363"/>
      <c r="H50" s="363"/>
      <c r="I50" s="365"/>
      <c r="J50" s="318">
        <v>81378</v>
      </c>
      <c r="K50" s="363"/>
      <c r="L50" s="363"/>
      <c r="M50" s="363"/>
      <c r="N50" s="363"/>
      <c r="O50" s="365"/>
      <c r="P50" s="318">
        <v>306646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658388</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v>-120337.46694412307</v>
      </c>
      <c r="L53" s="319">
        <v>-272747.44795006985</v>
      </c>
      <c r="M53" s="319"/>
      <c r="N53" s="319"/>
      <c r="O53" s="318"/>
      <c r="P53" s="318">
        <v>0</v>
      </c>
      <c r="Q53" s="319">
        <v>213714.72768191353</v>
      </c>
      <c r="R53" s="319">
        <v>799379.4619076543</v>
      </c>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48323479</v>
      </c>
      <c r="K54" s="323">
        <f>K24+K27+K31+K35-K36+K39+K42+K45+K46-K49+K51+K52+K53</f>
        <v>53973046.485082082</v>
      </c>
      <c r="L54" s="323">
        <f>L24+L27+L31+L35-L36+L39+L42+L45+L46-L49+L51+L52+L53</f>
        <v>6373294.9729499305</v>
      </c>
      <c r="M54" s="323">
        <f>M24+M27+M31+M35-M36+M39+M42+M45+M46-M49+M51+M52+M53</f>
        <v>0</v>
      </c>
      <c r="N54" s="323">
        <f>N24+N27+N31+N35-N36+N39+N42+N45+N46-N49+N51+N52+N53</f>
        <v>0</v>
      </c>
      <c r="O54" s="322">
        <f>O24+O27+O31+O35-O36+O39+O42+O45+O46-O49+O51+O52+O53</f>
        <v>0</v>
      </c>
      <c r="P54" s="322">
        <f>P23+P26-P28+P30-P32+P34-P36+P38+P41-P43+P45+P46-P47-P49+P50+P51+P52+P53</f>
        <v>142005278</v>
      </c>
      <c r="Q54" s="323">
        <f>Q24+Q27+Q31+Q35-Q36+Q39+Q42+Q45+Q46-Q49+Q51+Q52+Q53</f>
        <v>148988886.35488334</v>
      </c>
      <c r="R54" s="323">
        <f>R24+R27+R31+R35-R36+R39+R42+R45+R46-R49+R51+R52+R53</f>
        <v>9595816.5435076542</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0</v>
      </c>
      <c r="AU54" s="324">
        <f>AU23+AU26-AU28+AU30-AU32+AU34-AU36+AU38+AU41-AU43+AU45+AU46-AU47-AU49+AU50+AU51+AU52+AU53</f>
        <v>346845556</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85194.04</v>
      </c>
      <c r="K55" s="323">
        <f t="shared" si="0"/>
        <v>93280.368104755005</v>
      </c>
      <c r="L55" s="323">
        <f t="shared" si="0"/>
        <v>4799.3100000000004</v>
      </c>
      <c r="M55" s="323">
        <f t="shared" si="0"/>
        <v>0</v>
      </c>
      <c r="N55" s="323">
        <f t="shared" si="0"/>
        <v>0</v>
      </c>
      <c r="O55" s="322">
        <f t="shared" si="0"/>
        <v>0</v>
      </c>
      <c r="P55" s="322">
        <f t="shared" si="0"/>
        <v>201230.82</v>
      </c>
      <c r="Q55" s="323">
        <f t="shared" si="0"/>
        <v>221325.05189524501</v>
      </c>
      <c r="R55" s="323">
        <f t="shared" si="0"/>
        <v>10079.14</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v>85194.04</v>
      </c>
      <c r="K56" s="319">
        <v>93280.368104755005</v>
      </c>
      <c r="L56" s="319">
        <v>11530.118781896974</v>
      </c>
      <c r="M56" s="319"/>
      <c r="N56" s="319"/>
      <c r="O56" s="318"/>
      <c r="P56" s="318">
        <v>201230.82</v>
      </c>
      <c r="Q56" s="319">
        <v>221325.05189524501</v>
      </c>
      <c r="R56" s="319">
        <v>16650.441218103027</v>
      </c>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131585</v>
      </c>
      <c r="K57" s="319">
        <v>136383.94</v>
      </c>
      <c r="L57" s="319">
        <v>4799.3100000000004</v>
      </c>
      <c r="M57" s="319"/>
      <c r="N57" s="319"/>
      <c r="O57" s="318"/>
      <c r="P57" s="318">
        <v>305480</v>
      </c>
      <c r="Q57" s="319">
        <v>315558.7</v>
      </c>
      <c r="R57" s="319">
        <v>10079.14</v>
      </c>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1173213</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39821404.780000001</v>
      </c>
      <c r="I5" s="403">
        <v>47458001.520000003</v>
      </c>
      <c r="J5" s="454"/>
      <c r="K5" s="454"/>
      <c r="L5" s="448"/>
      <c r="M5" s="402">
        <v>134536144.44999999</v>
      </c>
      <c r="N5" s="403">
        <v>140122571.27000001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v>39964398.31492205</v>
      </c>
      <c r="I6" s="398">
        <v>46938864.124659598</v>
      </c>
      <c r="J6" s="400">
        <f>SUM('Pt 1 Summary of Data'!K$12,'Pt 1 Summary of Data'!K$22)+SUM('Pt 1 Summary of Data'!M$12,'Pt 1 Summary of Data'!M$22)-SUM('Pt 1 Summary of Data'!N$12,'Pt 1 Summary of Data'!N$22)</f>
        <v>54066326.853186838</v>
      </c>
      <c r="K6" s="400">
        <f>SUM(H6:J6)</f>
        <v>140969589.29276848</v>
      </c>
      <c r="L6" s="401">
        <f>SUM('Pt 1 Summary of Data'!O$12,'Pt 1 Summary of Data'!O$22)</f>
        <v>0</v>
      </c>
      <c r="M6" s="397">
        <v>134222346.38827318</v>
      </c>
      <c r="N6" s="398">
        <v>141036055.61847624</v>
      </c>
      <c r="O6" s="400">
        <f>SUM('Pt 1 Summary of Data'!Q$12,'Pt 1 Summary of Data'!Q$22)+SUM('Pt 1 Summary of Data'!S$12,'Pt 1 Summary of Data'!S$22)-SUM('Pt 1 Summary of Data'!T$12,'Pt 1 Summary of Data'!T$22)</f>
        <v>149210211.40677857</v>
      </c>
      <c r="P6" s="400">
        <f>SUM(M6:O6)</f>
        <v>424468613.41352797</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v>940500.89</v>
      </c>
      <c r="I7" s="398">
        <v>1093245.7</v>
      </c>
      <c r="J7" s="400">
        <f>SUM('Pt 1 Summary of Data'!K$37:K$41)+SUM('Pt 1 Summary of Data'!M$37:M$41)-SUM('Pt 1 Summary of Data'!N$37:N$41)+MAX(0,MIN('Pt 1 Summary of Data'!K$42+'Pt 1 Summary of Data'!M$42-'Pt 1 Summary of Data'!N$42,0.3%*('Pt 1 Summary of Data'!K$5+'Pt 1 Summary of Data'!M$5-'Pt 1 Summary of Data'!N$5-SUM(J$10:J$11))))</f>
        <v>1047931.8595447935</v>
      </c>
      <c r="K7" s="400">
        <f>SUM(H7:J7)</f>
        <v>3081678.4495447935</v>
      </c>
      <c r="L7" s="401">
        <f>SUM('Pt 1 Summary of Data'!O$37:O$41)+MAX(0,MIN(VALUE('Pt 1 Summary of Data'!O$42),0.3%*('Pt 1 Summary of Data'!O$5-L$10)))</f>
        <v>0</v>
      </c>
      <c r="M7" s="397">
        <v>2637209.15</v>
      </c>
      <c r="N7" s="398">
        <v>2395181.39</v>
      </c>
      <c r="O7" s="400">
        <f>SUM('Pt 1 Summary of Data'!Q$37:Q$41)+SUM('Pt 1 Summary of Data'!S$37:S$41)-SUM('Pt 1 Summary of Data'!T$37:T$41)+MAX(0,MIN('Pt 1 Summary of Data'!Q$42+'Pt 1 Summary of Data'!S$42-'Pt 1 Summary of Data'!T$42,0.3%*('Pt 1 Summary of Data'!Q$5+'Pt 1 Summary of Data'!S$5-'Pt 1 Summary of Data'!T$5)))</f>
        <v>2222880.2204552065</v>
      </c>
      <c r="P7" s="400">
        <f>SUM(M7:O7)</f>
        <v>7255270.760455206</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540251.68000000005</v>
      </c>
      <c r="J10" s="400">
        <f>'Pt 2 Premium and Claims'!K$16+'Pt 2 Premium and Claims'!M$16-'Pt 2 Premium and Claims'!N$16</f>
        <v>707127.26</v>
      </c>
      <c r="K10" s="400">
        <f>SUM(H10:J10)</f>
        <v>1247378.94</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40904899.20492205</v>
      </c>
      <c r="I12" s="400">
        <f>SUM(I$6:I$7) - SUM(I$10:I$11)+IF(AND(OR('Company Information'!$C$12="District of Columbia",'Company Information'!$C$12="Massachusetts",'Company Information'!$C$12="Vermont"),SUM($H$6:$K$11,$H$15:$K$16,$H$38:$I$38)&lt;&gt;0),SUM(D$6:D$7) - SUM(D$8:D$11),0)</f>
        <v>47491858.144659601</v>
      </c>
      <c r="J12" s="400">
        <f>SUM(J$6:J$7)-SUM(J$10:J$11)+IF(AND(OR('Company Information'!$C$12="District of Columbia",'Company Information'!$C$12="Massachusetts",'Company Information'!$C$12="Vermont"),SUM($H$6:$K$11,$H$15:$K$16,$H$38:$I$38)&lt;&gt;0),SUM(E$6:E$7)-SUM(E$8:E$11),0)</f>
        <v>54407131.452731632</v>
      </c>
      <c r="K12" s="400">
        <f>IFERROR(SUM(H$12:J$12)+H$17*MAX(0,J$50-H$50)+I$17*MAX(0,J$50-I$50),0)</f>
        <v>142803888.8023133</v>
      </c>
      <c r="L12" s="447"/>
      <c r="M12" s="399">
        <f>SUM(M$6:M$7)</f>
        <v>136859555.53827319</v>
      </c>
      <c r="N12" s="400">
        <f>SUM(N$6:N$7)</f>
        <v>143431237.00847623</v>
      </c>
      <c r="O12" s="400">
        <f>SUM(O$6:O$7)</f>
        <v>151433091.62723377</v>
      </c>
      <c r="P12" s="400">
        <f>SUM(M$12:O$12)+M$17*MAX(0,O$50-M$50)+N$17*MAX(0,O$50-N$50)</f>
        <v>431723884.17398322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f>
        <v>0</v>
      </c>
      <c r="F15" s="395">
        <f>SUM(C15:E15)</f>
        <v>0</v>
      </c>
      <c r="G15" s="396">
        <f>SUM('Pt 1 Summary of Data'!I$5:I$7)-SUM(G$9:G$10)</f>
        <v>0</v>
      </c>
      <c r="H15" s="402">
        <v>46216882.899999999</v>
      </c>
      <c r="I15" s="403">
        <v>57012295.920000002</v>
      </c>
      <c r="J15" s="395">
        <f>SUM('Pt 1 Summary of Data'!K$5:K$7)+SUM('Pt 1 Summary of Data'!M$5:M$7)-SUM('Pt 1 Summary of Data'!N$5:N$7)-SUM(J$10:J$11)</f>
        <v>62690257.196023203</v>
      </c>
      <c r="K15" s="395">
        <f>SUM(H15:J15)</f>
        <v>165919436.01602319</v>
      </c>
      <c r="L15" s="396">
        <f>SUM('Pt 1 Summary of Data'!O$5:O$7)-L$10</f>
        <v>0</v>
      </c>
      <c r="M15" s="402">
        <v>161278760.38</v>
      </c>
      <c r="N15" s="403">
        <v>160488334.86000001</v>
      </c>
      <c r="O15" s="395">
        <f>SUM('Pt 1 Summary of Data'!Q$5:Q$7)+SUM('Pt 1 Summary of Data'!S$5:S$7)-SUM('Pt 1 Summary of Data'!T$5:T$7)+N$56</f>
        <v>168951167.88749409</v>
      </c>
      <c r="P15" s="395">
        <f>SUM(M15:O15)</f>
        <v>490718263.1274941</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v>255457.05</v>
      </c>
      <c r="I16" s="398">
        <v>1669574.39</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1854149.5103159603</v>
      </c>
      <c r="K16" s="400">
        <f>SUM(H16:J16)</f>
        <v>3779180.9503159602</v>
      </c>
      <c r="L16" s="401">
        <f>SUM('Pt 1 Summary of Data'!O$25:O$28,'Pt 1 Summary of Data'!O$30,'Pt 1 Summary of Data'!O$34:O$35)+IF('Company Information'!$C$15="No",IF(MAX('Pt 1 Summary of Data'!O$31:O$32)=0,MIN('Pt 1 Summary of Data'!O$31:O$32),MAX('Pt 1 Summary of Data'!O$31:O$32)),SUM('Pt 1 Summary of Data'!O$31:O$32))</f>
        <v>0</v>
      </c>
      <c r="M16" s="397">
        <v>1412258.46</v>
      </c>
      <c r="N16" s="398">
        <v>6124090.4500000002</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3802872.6788157644</v>
      </c>
      <c r="P16" s="400">
        <f>SUM(M16:O16)</f>
        <v>11339221.588815764</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45961425.850000001</v>
      </c>
      <c r="I17" s="400">
        <f>I$15-I$16+IF(AND(OR('Company Information'!$C$12="District of Columbia",'Company Information'!$C$12="Massachusetts",'Company Information'!$C$12="Vermont"),SUM($H$6:$K$11,$H$15:$K$16,$H$38:$I$38)&lt;&gt;0),D$15-D$16,0)</f>
        <v>55342721.530000001</v>
      </c>
      <c r="J17" s="400">
        <f>J$15-J$16+IF(AND(OR('Company Information'!$C$12="District of Columbia",'Company Information'!$C$12="Massachusetts",'Company Information'!$C$12="Vermont"),SUM($H$6:$K$11,$H$15:$K$16,$H$38:$I$38)&lt;&gt;0),E$15-E$16,0)</f>
        <v>60836107.685707241</v>
      </c>
      <c r="K17" s="400">
        <f>K$15-K$16+IF(AND(OR('Company Information'!$C$12="District of Columbia",'Company Information'!$C$12="Massachusetts",'Company Information'!$C$12="Vermont"),SUM($H$6:$K$11,$H$15:$K$16,$H$38:$I$38)&lt;&gt;0),F$15-F$16,0)</f>
        <v>162140255.06570724</v>
      </c>
      <c r="L17" s="450"/>
      <c r="M17" s="399">
        <f>M$15-M$16</f>
        <v>159866501.91999999</v>
      </c>
      <c r="N17" s="400">
        <f>N$15-N$16</f>
        <v>154364244.41000003</v>
      </c>
      <c r="O17" s="400">
        <f>O$15-O$16</f>
        <v>165148295.20867833</v>
      </c>
      <c r="P17" s="400">
        <f>P$15-P$16</f>
        <v>479379041.53867835</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v>10718</v>
      </c>
      <c r="I38" s="405">
        <v>13034.67</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13628.916666666666</v>
      </c>
      <c r="K38" s="432">
        <f>SUM(H$38:J$38)+IF(AND(OR('Company Information'!$C$12="District of Columbia",'Company Information'!$C$12="Massachusetts",'Company Information'!$C$12="Vermont"),SUM($H$6:$K$11,$H$15:$K$16,$H$38:$I$38)&lt;&gt;0,SUM(H$38:I$38)&lt;&gt;SUM(C$38:D$38)),SUM(C$38:D$38),0)</f>
        <v>37381.586666666662</v>
      </c>
      <c r="L38" s="448"/>
      <c r="M38" s="404">
        <v>29412</v>
      </c>
      <c r="N38" s="405">
        <v>28112.080000000002</v>
      </c>
      <c r="O38" s="432">
        <f>('Pt 1 Summary of Data'!Q$59+'Pt 1 Summary of Data'!S$59-'Pt 1 Summary of Data'!T$59)/12</f>
        <v>29941.333333333332</v>
      </c>
      <c r="P38" s="432">
        <f>SUM(M$38:O$38)</f>
        <v>87465.41333333333</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1.4018946133333335E-2</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2726</v>
      </c>
      <c r="L40" s="447"/>
      <c r="M40" s="443"/>
      <c r="N40" s="441"/>
      <c r="O40" s="441"/>
      <c r="P40" s="398">
        <v>2208</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1.1855152</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 ca="1">IF(OR(K$38&lt;1000,K$38&gt;=75000),0,K$39*K$41)</f>
        <v>1.6619673729047896E-2</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f>IF(OR(H$38&lt;1000,H$17&lt;=0),"",H$12/H$17)</f>
        <v>0.88998325113802035</v>
      </c>
      <c r="I45" s="436">
        <f>IF(OR(I$38&lt;1000,I$17&lt;=0),"",I$12/I$17)</f>
        <v>0.8581409954498781</v>
      </c>
      <c r="J45" s="436">
        <f>IF(OR(J$38&lt;1000,J$17&lt;=0),"",J$12/J$17)</f>
        <v>0.89432301839247963</v>
      </c>
      <c r="K45" s="436">
        <f>IF(OR(K$38&lt;1000,K$17&lt;=0),"",K$12/K$17)</f>
        <v>0.88074296382747219</v>
      </c>
      <c r="L45" s="447"/>
      <c r="M45" s="438">
        <f>IF(OR(M$38&lt;1000,M$17&lt;=0),"",M$12/M$17)</f>
        <v>0.85608650902213468</v>
      </c>
      <c r="N45" s="436">
        <f>IF(OR(N$38&lt;1000,N$17&lt;=0),"",N$12/N$17)</f>
        <v>0.92917396484327597</v>
      </c>
      <c r="O45" s="436">
        <f>IF(OR(O$38&lt;1000,O$17&lt;=0),"",O$12/O$17)</f>
        <v>0.91695219400167416</v>
      </c>
      <c r="P45" s="436">
        <f>IF(OR(P$38&lt;1000,P$17&lt;=0),"",P$12/P$17)</f>
        <v>0.9005898188378556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f ca="1">IF(K$45="","",K$42)</f>
        <v>1.6619673729047896E-2</v>
      </c>
      <c r="L47" s="447"/>
      <c r="M47" s="443"/>
      <c r="N47" s="441"/>
      <c r="O47" s="441"/>
      <c r="P47" s="436">
        <f>IF(P$45="","",P$42)</f>
        <v>0</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f ca="1">IF(K$45="","",ROUND(K$45+MAX(0,K$47),3))</f>
        <v>0.89700000000000002</v>
      </c>
      <c r="L48" s="447"/>
      <c r="M48" s="443"/>
      <c r="N48" s="441"/>
      <c r="O48" s="441"/>
      <c r="P48" s="436">
        <f>IF(P$45="","",ROUND(P$45+MAX(0,P$47),3))</f>
        <v>0.90100000000000002</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f ca="1">K$48</f>
        <v>0.89700000000000002</v>
      </c>
      <c r="L51" s="447"/>
      <c r="M51" s="444"/>
      <c r="N51" s="442"/>
      <c r="O51" s="442"/>
      <c r="P51" s="436">
        <f>P$48</f>
        <v>0.90100000000000002</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f>IF(K$38&lt;1000,"",MAX(0,J$15-J$16))</f>
        <v>60836107.685707241</v>
      </c>
      <c r="L52" s="447"/>
      <c r="M52" s="443"/>
      <c r="N52" s="441"/>
      <c r="O52" s="441"/>
      <c r="P52" s="400">
        <f>IF(P$38&lt;1000,"",MAX(0,O$15-O$16))</f>
        <v>165148295.20867833</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 ca="1">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164766.793057</v>
      </c>
      <c r="I56" s="441"/>
      <c r="J56" s="441"/>
      <c r="K56" s="441"/>
      <c r="L56" s="447"/>
      <c r="M56" s="397">
        <v>495316.65483999997</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904.51141310000003</v>
      </c>
      <c r="I57" s="441"/>
      <c r="J57" s="441"/>
      <c r="K57" s="441"/>
      <c r="L57" s="447"/>
      <c r="M57" s="397">
        <v>4314.048933</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7282</v>
      </c>
      <c r="E4" s="104">
        <f>'Pt 1 Summary of Data'!$Q$56+'Pt 1 Summary of Data'!$S$56-'Pt 1 Summary of Data'!$T$56</f>
        <v>12232</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 ca="1">'Pt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t="s">
        <v>509</v>
      </c>
      <c r="C10" s="28"/>
      <c r="D10" s="29"/>
      <c r="E10" s="29"/>
      <c r="F10" s="29"/>
      <c r="G10" s="29"/>
      <c r="H10" s="29"/>
      <c r="I10" s="27"/>
      <c r="J10" s="27"/>
      <c r="K10" s="2"/>
    </row>
    <row r="11" spans="1:12" s="5" customFormat="1" ht="18" customHeight="1" x14ac:dyDescent="0.2">
      <c r="B11" s="61" t="s">
        <v>510</v>
      </c>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2016-07-28T11:14:00Z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