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A13" i="10"/>
  <c r="Z13" i="10"/>
  <c r="Y13" i="10"/>
  <c r="W13" i="10"/>
  <c r="S13" i="10"/>
  <c r="P12" i="10"/>
  <c r="O12" i="10"/>
  <c r="N12" i="10"/>
  <c r="M12" i="10"/>
  <c r="K11" i="10"/>
  <c r="J11" i="10"/>
  <c r="F11" i="10"/>
  <c r="E11" i="10"/>
  <c r="L10" i="10"/>
  <c r="K10" i="10"/>
  <c r="J10" i="10"/>
  <c r="G10" i="10"/>
  <c r="E10" i="10"/>
  <c r="F10" i="10" s="1"/>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W55" i="18"/>
  <c r="W22" i="4" s="1"/>
  <c r="V55" i="18"/>
  <c r="V22" i="4" s="1"/>
  <c r="U55" i="18"/>
  <c r="U22" i="4" s="1"/>
  <c r="T55" i="18"/>
  <c r="T22" i="4" s="1"/>
  <c r="S55" i="18"/>
  <c r="S22" i="4" s="1"/>
  <c r="R55" i="18"/>
  <c r="R22" i="4" s="1"/>
  <c r="Q55" i="18"/>
  <c r="Q22" i="4" s="1"/>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X54" i="18"/>
  <c r="X12" i="4" s="1"/>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M22" i="4"/>
  <c r="Y12" i="4"/>
  <c r="S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J15" i="10" l="1"/>
  <c r="K15" i="10" s="1"/>
  <c r="E6" i="10"/>
  <c r="F6" i="10" s="1"/>
  <c r="F15" i="10"/>
  <c r="G7" i="10"/>
  <c r="J7" i="10"/>
  <c r="E7" i="10"/>
  <c r="P47" i="10"/>
  <c r="L29" i="10"/>
  <c r="L33" i="10" s="1"/>
  <c r="L34" i="10" s="1"/>
  <c r="L21" i="10"/>
  <c r="L26" i="10" s="1"/>
  <c r="L25" i="10" s="1"/>
  <c r="L28" i="10" s="1"/>
  <c r="AB13" i="10"/>
  <c r="X13" i="10"/>
  <c r="R13" i="10"/>
  <c r="Q13" i="10"/>
  <c r="T13" i="10"/>
  <c r="U13" i="10"/>
  <c r="G24" i="10" l="1"/>
  <c r="G19" i="10"/>
  <c r="K7" i="10"/>
  <c r="J38" i="10" s="1"/>
  <c r="J17" i="10"/>
  <c r="G23" i="10"/>
  <c r="F7" i="10"/>
  <c r="D17" i="10" s="1"/>
  <c r="D12" i="10"/>
  <c r="E12" i="10"/>
  <c r="G27" i="10"/>
  <c r="G20" i="10"/>
  <c r="H12" i="10"/>
  <c r="E17" i="10"/>
  <c r="G32" i="10"/>
  <c r="F17" i="10"/>
  <c r="C12" i="10" l="1"/>
  <c r="G22" i="10"/>
  <c r="G30" i="10" s="1"/>
  <c r="G31" i="10" s="1"/>
  <c r="G29" i="10" s="1"/>
  <c r="G33" i="10" s="1"/>
  <c r="G34" i="10" s="1"/>
  <c r="C17" i="10"/>
  <c r="C45" i="10" s="1"/>
  <c r="I12" i="10"/>
  <c r="H17" i="10"/>
  <c r="H45" i="10" s="1"/>
  <c r="I17" i="10"/>
  <c r="I45" i="10" s="1"/>
  <c r="J12" i="10"/>
  <c r="K17" i="10"/>
  <c r="E38" i="10"/>
  <c r="F38" i="10" s="1"/>
  <c r="D45" i="10"/>
  <c r="G21" i="10"/>
  <c r="G26" i="10" s="1"/>
  <c r="G25" i="10" s="1"/>
  <c r="G28" i="10" s="1"/>
  <c r="F12" i="10"/>
  <c r="K38" i="10"/>
  <c r="J45" i="10"/>
  <c r="K12" i="10" l="1"/>
  <c r="E45" i="10"/>
  <c r="F39" i="10" s="1"/>
  <c r="F42" i="10" s="1"/>
  <c r="K42" i="10"/>
  <c r="K53" i="10"/>
  <c r="D11" i="16" s="1"/>
  <c r="K45" i="10"/>
  <c r="K52" i="10"/>
  <c r="K39" i="10"/>
  <c r="F45" i="10"/>
  <c r="F52" i="10"/>
  <c r="K47" i="10" l="1"/>
  <c r="K48" i="10"/>
  <c r="K51" i="10" s="1"/>
  <c r="F47" i="10"/>
  <c r="F48" i="10" s="1"/>
  <c r="F51" i="10" s="1"/>
  <c r="F53" i="10" s="1"/>
  <c r="C11"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<sst xmlns="http://schemas.openxmlformats.org/spreadsheetml/2006/main" count="565" uniqueCount="503">
  <si>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</si>
  <si>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</si>
  <si>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</si>
  <si>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</si>
  <si>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</si>
  <si>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</si>
  <si>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</si>
  <si>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</si>
  <si>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</si>
  <si>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</si>
  <si>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</si>
  <si>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</si>
  <si>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</si>
  <si>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</si>
  <si>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</si>
  <si>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</si>
  <si>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</si>
  <si>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</si>
  <si>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</si>
  <si>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</si>
  <si>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</si>
  <si>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</si>
  <si>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</si>
  <si>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</si>
  <si>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</si>
  <si>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</si>
  <si>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</si>
  <si>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</si>
  <si>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</si>
  <si>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</si>
  <si>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</si>
  <si>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</si>
  <si>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</si>
  <si>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</si>
  <si>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</si>
  <si>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</si>
  <si>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</si>
  <si>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</si>
  <si>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</si>
  <si>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</si>
  <si>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</si>
  <si>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</si>
  <si>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</si>
  <si>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</si>
  <si>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</si>
  <si>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</si>
  <si>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</si>
  <si>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</si>
  <si>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</si>
  <si>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</si>
  <si>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</si>
  <si>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</si>
  <si>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</si>
  <si>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</si>
  <si>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</si>
  <si>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</si>
  <si>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</si>
  <si>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</si>
  <si>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</si>
  <si>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</si>
  <si>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</si>
  <si>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</si>
  <si>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</si>
  <si>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</si>
  <si>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</si>
  <si>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</si>
  <si>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</si>
  <si>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</si>
  <si>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</si>
  <si>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</si>
  <si>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</si>
  <si>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</si>
  <si>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</si>
  <si>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</si>
  <si>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</si>
  <si>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</si>
  <si>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</si>
  <si>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</si>
  <si>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</si>
  <si>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</si>
  <si>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</si>
  <si>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</si>
  <si>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</si>
  <si>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</si>
  <si>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</si>
  <si>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</si>
  <si>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</si>
  <si>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</si>
  <si>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</si>
  <si>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</si>
  <si>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</si>
  <si>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</si>
  <si>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</si>
  <si>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</si>
  <si>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</si>
  <si>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</si>
  <si>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</si>
  <si>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</si>
  <si>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</si>
  <si>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</si>
  <si>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</si>
  <si>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</si>
  <si>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</si>
  <si>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</si>
  <si>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</si>
  <si>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</si>
  <si>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</si>
  <si>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</si>
  <si>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</si>
  <si>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</si>
  <si>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</si>
  <si>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</si>
  <si>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</si>
  <si>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</si>
  <si>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</si>
  <si>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</si>
  <si>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</si>
  <si>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</si>
  <si>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</si>
  <si>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</si>
  <si>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</si>
  <si>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</si>
  <si>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</si>
  <si>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</si>
  <si>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</si>
  <si>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</si>
  <si>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</si>
  <si>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</si>
  <si>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</si>
  <si>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</si>
  <si>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</si>
  <si>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</si>
  <si>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</si>
  <si>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</si>
  <si>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</si>
  <si>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</si>
  <si>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</si>
  <si>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</si>
  <si>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</si>
  <si>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</si>
  <si>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</si>
  <si>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</si>
  <si>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</si>
  <si>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</si>
  <si>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</si>
  <si>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</si>
  <si>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</si>
  <si>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</si>
  <si>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</si>
  <si>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</si>
  <si>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</si>
  <si>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</si>
  <si>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</si>
  <si>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</si>
  <si>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</si>
  <si>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</si>
  <si>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</si>
  <si>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</si>
  <si>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</si>
  <si>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</si>
  <si>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</si>
  <si>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</si>
  <si>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</si>
  <si>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</si>
  <si>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</si>
  <si>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</si>
  <si>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</si>
  <si>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</si>
  <si>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</si>
  <si>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</si>
  <si>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</si>
  <si>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</si>
  <si>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</si>
  <si>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</si>
  <si>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</si>
  <si>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</si>
  <si>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</si>
  <si>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</si>
  <si>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</si>
  <si>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</si>
  <si>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</si>
  <si>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</si>
  <si>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</si>
  <si>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</si>
  <si>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</si>
  <si>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</si>
  <si>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</si>
  <si>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</si>
  <si>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</si>
  <si>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</si>
  <si>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</si>
  <si>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</si>
  <si>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</si>
  <si>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</si>
  <si>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</si>
  <si>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</si>
  <si>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</si>
  <si>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</si>
  <si>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</si>
  <si>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</si>
  <si>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</si>
  <si>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</si>
  <si>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</si>
  <si>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</si>
  <si>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</si>
  <si>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</si>
  <si>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</si>
  <si>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</si>
  <si>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</si>
  <si>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</si>
  <si>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</si>
  <si>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</si>
  <si>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</si>
  <si>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</si>
  <si>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</si>
  <si>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</si>
  <si>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</si>
  <si>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</si>
  <si>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</si>
  <si>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</si>
  <si>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</si>
  <si>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</si>
  <si>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</si>
  <si>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</si>
  <si>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</si>
  <si>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</si>
  <si>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</si>
  <si>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</si>
  <si>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</si>
  <si>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</si>
  <si>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</si>
  <si>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</si>
  <si>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</si>
  <si>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</si>
  <si>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</si>
  <si>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</si>
  <si>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</si>
  <si>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</si>
  <si>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</si>
  <si>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</si>
  <si>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</si>
  <si>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</si>
  <si>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</si>
  <si>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</si>
  <si>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</si>
  <si>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</si>
  <si>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</si>
  <si>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</si>
  <si>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</si>
  <si>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</si>
  <si>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</si>
  <si>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</si>
  <si>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</si>
  <si>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</si>
  <si>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</si>
  <si>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</si>
  <si>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</si>
  <si>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</si>
  <si>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</si>
  <si>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</si>
  <si>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</si>
  <si>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</si>
  <si>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</si>
  <si>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</si>
  <si>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</si>
  <si>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</si>
  <si>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</si>
  <si>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</si>
  <si>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</si>
  <si>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</si>
  <si>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</si>
  <si>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</si>
  <si>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</si>
  <si>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</si>
  <si>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</si>
  <si>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</si>
  <si>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</si>
  <si>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</si>
  <si>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</si>
  <si>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</si>
  <si>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</si>
  <si>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</si>
  <si>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</si>
  <si>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</si>
  <si>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</si>
  <si>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</si>
  <si>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</si>
  <si>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</si>
  <si>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</si>
  <si>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</si>
  <si>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</si>
  <si>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</si>
  <si>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</si>
  <si>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</si>
  <si>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</si>
  <si>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</si>
  <si>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</si>
  <si>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</si>
  <si>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</si>
  <si>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</si>
  <si>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</si>
  <si>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</si>
  <si>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</si>
  <si>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</si>
  <si>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</si>
  <si>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</si>
  <si>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</si>
  <si>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</si>
  <si>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</si>
  <si>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</si>
  <si>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</si>
  <si>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</si>
  <si>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</si>
  <si>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</si>
  <si>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</si>
  <si>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</si>
  <si>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</si>
  <si>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</si>
  <si>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</si>
  <si>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</si>
  <si>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</si>
  <si>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</si>
  <si>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</si>
  <si>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</si>
  <si>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</si>
  <si>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</si>
  <si>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</si>
  <si>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</si>
  <si>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</si>
  <si>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</si>
  <si>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</si>
  <si>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</si>
  <si>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</si>
  <si>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</si>
  <si>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</si>
  <si>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</si>
  <si>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</si>
  <si>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</si>
  <si>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</si>
  <si>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</si>
  <si>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</si>
  <si>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</si>
  <si>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</si>
  <si>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</si>
  <si>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</si>
  <si>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</si>
  <si>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</si>
  <si>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</si>
  <si>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</si>
  <si>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</si>
  <si>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</si>
  <si>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</si>
  <si>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</si>
  <si>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</si>
  <si>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</si>
  <si>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</si>
  <si>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</si>
  <si>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</si>
  <si>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</si>
  <si>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</si>
  <si>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</si>
  <si>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</si>
  <si>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</si>
  <si>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</si>
  <si>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</si>
  <si>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</si>
  <si>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</si>
  <si>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</si>
  <si>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</si>
  <si>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</si>
  <si>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</si>
  <si>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</si>
  <si>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</si>
  <si>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</si>
  <si>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</si>
  <si>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</si>
  <si>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</si>
  <si>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</si>
  <si>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</si>
  <si>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</si>
  <si>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</si>
  <si>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</si>
  <si>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</si>
  <si>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</si>
  <si>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</si>
  <si>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</si>
  <si>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</si>
  <si>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</si>
  <si>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</si>
  <si>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</si>
  <si>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</si>
  <si>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</si>
  <si>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</si>
  <si>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</si>
  <si>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</si>
  <si>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</si>
  <si>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</si>
  <si>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</si>
  <si>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</si>
  <si>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</si>
  <si>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</si>
  <si>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</si>
  <si>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</si>
  <si>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</si>
  <si>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</si>
  <si>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</si>
  <si>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</si>
  <si>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</si>
  <si>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</si>
  <si>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</si>
  <si>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</si>
  <si>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</si>
  <si>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</si>
  <si>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</si>
  <si>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</si>
  <si>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</si>
  <si>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</si>
  <si>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</si>
  <si>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</si>
  <si>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</si>
  <si>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</si>
  <si>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</si>
  <si>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</si>
  <si>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</si>
  <si>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</si>
  <si>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</si>
  <si>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</si>
  <si>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</si>
  <si>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</si>
  <si>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</si>
  <si>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</si>
  <si>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</si>
  <si>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</si>
  <si>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</si>
  <si>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</si>
  <si>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</si>
  <si>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</si>
  <si>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</si>
  <si>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</si>
  <si>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</si>
  <si>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</si>
  <si>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</si>
  <si>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</si>
  <si>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</si>
  <si>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</si>
  <si>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</si>
  <si>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</si>
  <si>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</si>
  <si>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</si>
  <si>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</si>
  <si>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</si>
  <si>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</si>
  <si>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</si>
  <si>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</si>
  <si>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</si>
  <si>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</si>
  <si>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</si>
  <si>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</si>
  <si>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</si>
  <si>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</si>
  <si>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</si>
  <si>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</si>
  <si>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</si>
  <si>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</si>
  <si>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</si>
  <si>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</si>
  <si>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</si>
  <si>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</si>
  <si>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</si>
  <si>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</si>
  <si>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</si>
  <si>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</si>
  <si>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</si>
  <si>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</si>
  <si>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</si>
  <si>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</si>
  <si>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</si>
  <si>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</si>
  <si>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</si>
  <si>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</si>
  <si>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</si>
  <si>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</si>
  <si>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</si>
  <si>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</si>
  <si>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</si>
  <si>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</si>
  <si>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</si>
  <si>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</si>
  <si>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</si>
  <si>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</si>
  <si>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</si>
  <si>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</si>
  <si>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</si>
  <si>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</si>
  <si>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</si>
  <si>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</si>
  <si>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Medical Plan of Michigan, Inc.</t>
  </si>
  <si>
    <t>Humana Medical Plan of MI, Inc.</t>
  </si>
  <si>
    <t>2015</t>
  </si>
  <si>
    <t>5555 Glenwood Hills Pkwy., Suite 150 Grand Rapids, MI 49512</t>
  </si>
  <si>
    <t>273991410</t>
  </si>
  <si>
    <t>46275</t>
  </si>
  <si>
    <t>712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</si>
</sst>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501</v>
      </c>
    </row>
    <row r="12" spans="1:6" x14ac:dyDescent="0.2">
      <c r="B12" s="147" t="s">
        <v>35</v>
      </c>
      <c r="C12" s="480" t="s">
        <v>162</v>
      </c>
    </row>
    <row r="13" spans="1:6" x14ac:dyDescent="0.2">
      <c r="B13" s="147" t="s">
        <v>50</v>
      </c>
      <c r="C13" s="480" t="s">
        <v>162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E59" sqref="E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45366071</v>
      </c>
      <c r="E5" s="213">
        <f>SUM('Pt 2 Premium and Claims'!E$5,'Pt 2 Premium and Claims'!E$6,-'Pt 2 Premium and Claims'!E$7,-'Pt 2 Premium and Claims'!E$13,'Pt 2 Premium and Claims'!E$14:'Pt 2 Premium and Claims'!E$17)</f>
        <v>55191852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55191852</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27431296</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-714986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49647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35942039</v>
      </c>
      <c r="E12" s="213">
        <f>'Pt 2 Premium and Claims'!E$54</f>
        <v>49356249</v>
      </c>
      <c r="F12" s="213">
        <f>'Pt 2 Premium and Claims'!F$54</f>
        <v>0</v>
      </c>
      <c r="G12" s="213">
        <f>'Pt 2 Premium and Claims'!G$54</f>
        <v>0</v>
      </c>
      <c r="H12" s="213">
        <f>'Pt 2 Premium and Claims'!H$54</f>
        <v>0</v>
      </c>
      <c r="I12" s="212">
        <f>'Pt 2 Premium and Claims'!I$54</f>
        <v>49356249</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22057175</v>
      </c>
      <c r="AV12" s="291"/>
      <c r="AW12" s="296"/>
    </row>
    <row r="13" spans="1:49" ht="25.5" x14ac:dyDescent="0.2">
      <c r="B13" s="239" t="s">
        <v>230</v>
      </c>
      <c r="C13" s="203" t="s">
        <v>37</v>
      </c>
      <c r="D13" s="216">
        <v>4960731</v>
      </c>
      <c r="E13" s="217">
        <v>5564293</v>
      </c>
      <c r="F13" s="217"/>
      <c r="G13" s="268"/>
      <c r="H13" s="269"/>
      <c r="I13" s="216">
        <v>5564293</v>
      </c>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3335910</v>
      </c>
      <c r="AV13" s="290"/>
      <c r="AW13" s="297"/>
    </row>
    <row r="14" spans="1:49" ht="25.5" x14ac:dyDescent="0.2">
      <c r="B14" s="239" t="s">
        <v>231</v>
      </c>
      <c r="C14" s="203" t="s">
        <v>6</v>
      </c>
      <c r="D14" s="216">
        <v>603194</v>
      </c>
      <c r="E14" s="217">
        <v>565483</v>
      </c>
      <c r="F14" s="217"/>
      <c r="G14" s="267"/>
      <c r="H14" s="270"/>
      <c r="I14" s="216">
        <v>565483</v>
      </c>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1090262</v>
      </c>
      <c r="AV14" s="290"/>
      <c r="AW14" s="297"/>
    </row>
    <row r="15" spans="1:49" ht="38.25" x14ac:dyDescent="0.2">
      <c r="B15" s="239" t="s">
        <v>232</v>
      </c>
      <c r="C15" s="203" t="s">
        <v>7</v>
      </c>
      <c r="D15" s="216">
        <v>11178</v>
      </c>
      <c r="E15" s="217">
        <v>11178</v>
      </c>
      <c r="F15" s="217"/>
      <c r="G15" s="267"/>
      <c r="H15" s="273"/>
      <c r="I15" s="216">
        <v>11178</v>
      </c>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5717</v>
      </c>
      <c r="AV15" s="290"/>
      <c r="AW15" s="297"/>
    </row>
    <row r="16" spans="1:49" ht="25.5" x14ac:dyDescent="0.2">
      <c r="B16" s="239" t="s">
        <v>233</v>
      </c>
      <c r="C16" s="203" t="s">
        <v>61</v>
      </c>
      <c r="D16" s="216">
        <v>-4808604</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112984.18</v>
      </c>
      <c r="E22" s="222">
        <f>'Pt 2 Premium and Claims'!E$55</f>
        <v>112984</v>
      </c>
      <c r="F22" s="222">
        <f>'Pt 2 Premium and Claims'!F$55</f>
        <v>0</v>
      </c>
      <c r="G22" s="222">
        <f>'Pt 2 Premium and Claims'!G$55</f>
        <v>0</v>
      </c>
      <c r="H22" s="222">
        <f>'Pt 2 Premium and Claims'!H$55</f>
        <v>0</v>
      </c>
      <c r="I22" s="221">
        <f>'Pt 2 Premium and Claims'!I$55</f>
        <v>112984</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-441748.47</v>
      </c>
      <c r="E25" s="217">
        <v>-441748.6341012331</v>
      </c>
      <c r="F25" s="217"/>
      <c r="G25" s="217"/>
      <c r="H25" s="217"/>
      <c r="I25" s="216">
        <v>-3264663</v>
      </c>
      <c r="J25" s="216"/>
      <c r="K25" s="217"/>
      <c r="L25" s="217"/>
      <c r="M25" s="217"/>
      <c r="N25" s="217"/>
      <c r="O25" s="216"/>
      <c r="P25" s="216">
        <v>0.01</v>
      </c>
      <c r="Q25" s="217">
        <v>0.01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v>2106190.7000000002</v>
      </c>
      <c r="AV25" s="220"/>
      <c r="AW25" s="297"/>
    </row>
    <row r="26" spans="1:49" s="5" customFormat="1" x14ac:dyDescent="0.2">
      <c r="A26" s="35"/>
      <c r="B26" s="242" t="s">
        <v>242</v>
      </c>
      <c r="C26" s="203"/>
      <c r="D26" s="216">
        <v>-3307.79</v>
      </c>
      <c r="E26" s="217">
        <v>-3308</v>
      </c>
      <c r="F26" s="217"/>
      <c r="G26" s="217"/>
      <c r="H26" s="217"/>
      <c r="I26" s="216">
        <v>-3308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897707.68</v>
      </c>
      <c r="E27" s="217">
        <v>897708</v>
      </c>
      <c r="F27" s="217"/>
      <c r="G27" s="217"/>
      <c r="H27" s="217"/>
      <c r="I27" s="216">
        <v>897708</v>
      </c>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459100.63</v>
      </c>
      <c r="AV27" s="293"/>
      <c r="AW27" s="297"/>
    </row>
    <row r="28" spans="1:49" s="5" customFormat="1" x14ac:dyDescent="0.2">
      <c r="A28" s="35"/>
      <c r="B28" s="242" t="s">
        <v>244</v>
      </c>
      <c r="C28" s="203"/>
      <c r="D28" s="216">
        <v>169849.9</v>
      </c>
      <c r="E28" s="217">
        <v>169850</v>
      </c>
      <c r="F28" s="217"/>
      <c r="G28" s="217"/>
      <c r="H28" s="217"/>
      <c r="I28" s="216">
        <v>169850</v>
      </c>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44581.96</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-6766.53</v>
      </c>
      <c r="E30" s="217">
        <v>-6766.540238017451</v>
      </c>
      <c r="F30" s="217"/>
      <c r="G30" s="217"/>
      <c r="H30" s="217"/>
      <c r="I30" s="216">
        <v>-182884</v>
      </c>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137085.1</v>
      </c>
      <c r="AV30" s="220"/>
      <c r="AW30" s="297"/>
    </row>
    <row r="31" spans="1:49" x14ac:dyDescent="0.2">
      <c r="B31" s="242" t="s">
        <v>247</v>
      </c>
      <c r="C31" s="203"/>
      <c r="D31" s="216">
        <v>653885.23</v>
      </c>
      <c r="E31" s="217">
        <v>653885</v>
      </c>
      <c r="F31" s="217"/>
      <c r="G31" s="217"/>
      <c r="H31" s="217"/>
      <c r="I31" s="216">
        <v>653885</v>
      </c>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196748.36</v>
      </c>
      <c r="E34" s="217">
        <v>784855</v>
      </c>
      <c r="F34" s="217"/>
      <c r="G34" s="217"/>
      <c r="H34" s="217"/>
      <c r="I34" s="216">
        <v>784855</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2116798.2400000002</v>
      </c>
      <c r="E35" s="217">
        <v>2116798</v>
      </c>
      <c r="F35" s="217"/>
      <c r="G35" s="217"/>
      <c r="H35" s="217"/>
      <c r="I35" s="216">
        <v>2116798</v>
      </c>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19189.04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237056</v>
      </c>
      <c r="E37" s="225">
        <v>179023</v>
      </c>
      <c r="F37" s="225"/>
      <c r="G37" s="225"/>
      <c r="H37" s="225"/>
      <c r="I37" s="224">
        <v>179023</v>
      </c>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179656</v>
      </c>
      <c r="AV37" s="226">
        <v>0</v>
      </c>
      <c r="AW37" s="296"/>
    </row>
    <row r="38" spans="1:49" x14ac:dyDescent="0.2">
      <c r="B38" s="239" t="s">
        <v>254</v>
      </c>
      <c r="C38" s="203" t="s">
        <v>16</v>
      </c>
      <c r="D38" s="216">
        <v>-40761</v>
      </c>
      <c r="E38" s="217">
        <v>14135</v>
      </c>
      <c r="F38" s="217"/>
      <c r="G38" s="217"/>
      <c r="H38" s="217"/>
      <c r="I38" s="216">
        <v>14135</v>
      </c>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60127</v>
      </c>
      <c r="AV38" s="220">
        <v>0</v>
      </c>
      <c r="AW38" s="297"/>
    </row>
    <row r="39" spans="1:49" x14ac:dyDescent="0.2">
      <c r="B39" s="242" t="s">
        <v>255</v>
      </c>
      <c r="C39" s="203" t="s">
        <v>17</v>
      </c>
      <c r="D39" s="216">
        <v>80515</v>
      </c>
      <c r="E39" s="217">
        <v>80515</v>
      </c>
      <c r="F39" s="217"/>
      <c r="G39" s="217"/>
      <c r="H39" s="217"/>
      <c r="I39" s="216">
        <v>80515</v>
      </c>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49351</v>
      </c>
      <c r="AV39" s="220">
        <v>0</v>
      </c>
      <c r="AW39" s="297"/>
    </row>
    <row r="40" spans="1:49" x14ac:dyDescent="0.2">
      <c r="B40" s="242" t="s">
        <v>256</v>
      </c>
      <c r="C40" s="203" t="s">
        <v>38</v>
      </c>
      <c r="D40" s="216">
        <v>55259</v>
      </c>
      <c r="E40" s="217">
        <v>55259</v>
      </c>
      <c r="F40" s="217"/>
      <c r="G40" s="217"/>
      <c r="H40" s="217"/>
      <c r="I40" s="216">
        <v>55259</v>
      </c>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177802</v>
      </c>
      <c r="AV40" s="220">
        <v>0</v>
      </c>
      <c r="AW40" s="297"/>
    </row>
    <row r="41" spans="1:49" s="5" customFormat="1" ht="25.5" x14ac:dyDescent="0.2">
      <c r="A41" s="35"/>
      <c r="B41" s="242" t="s">
        <v>257</v>
      </c>
      <c r="C41" s="203" t="s">
        <v>129</v>
      </c>
      <c r="D41" s="216">
        <v>86890</v>
      </c>
      <c r="E41" s="217">
        <v>86890</v>
      </c>
      <c r="F41" s="217"/>
      <c r="G41" s="217"/>
      <c r="H41" s="217"/>
      <c r="I41" s="216">
        <v>86890</v>
      </c>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33532</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885295</v>
      </c>
      <c r="E44" s="225">
        <v>885295</v>
      </c>
      <c r="F44" s="225"/>
      <c r="G44" s="225"/>
      <c r="H44" s="225"/>
      <c r="I44" s="224">
        <v>885295</v>
      </c>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283226</v>
      </c>
      <c r="AV44" s="226">
        <v>0</v>
      </c>
      <c r="AW44" s="296"/>
    </row>
    <row r="45" spans="1:49" x14ac:dyDescent="0.2">
      <c r="B45" s="245" t="s">
        <v>261</v>
      </c>
      <c r="C45" s="203" t="s">
        <v>19</v>
      </c>
      <c r="D45" s="216">
        <v>673383</v>
      </c>
      <c r="E45" s="217">
        <v>673383</v>
      </c>
      <c r="F45" s="217"/>
      <c r="G45" s="217"/>
      <c r="H45" s="217"/>
      <c r="I45" s="216">
        <v>673383</v>
      </c>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211511</v>
      </c>
      <c r="AV45" s="220">
        <v>0</v>
      </c>
      <c r="AW45" s="297"/>
    </row>
    <row r="46" spans="1:49" x14ac:dyDescent="0.2">
      <c r="B46" s="245" t="s">
        <v>262</v>
      </c>
      <c r="C46" s="203" t="s">
        <v>20</v>
      </c>
      <c r="D46" s="216">
        <v>369483</v>
      </c>
      <c r="E46" s="217">
        <v>369483</v>
      </c>
      <c r="F46" s="217"/>
      <c r="G46" s="217"/>
      <c r="H46" s="217"/>
      <c r="I46" s="216">
        <v>369483</v>
      </c>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227907</v>
      </c>
      <c r="AV46" s="220">
        <v>0</v>
      </c>
      <c r="AW46" s="297"/>
    </row>
    <row r="47" spans="1:49" x14ac:dyDescent="0.2">
      <c r="B47" s="245" t="s">
        <v>263</v>
      </c>
      <c r="C47" s="203" t="s">
        <v>21</v>
      </c>
      <c r="D47" s="216">
        <v>1483893</v>
      </c>
      <c r="E47" s="217">
        <v>1483893</v>
      </c>
      <c r="F47" s="217"/>
      <c r="G47" s="217"/>
      <c r="H47" s="217"/>
      <c r="I47" s="216">
        <v>1483893</v>
      </c>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213755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-152.41999999999999</v>
      </c>
      <c r="E49" s="217">
        <v>-152</v>
      </c>
      <c r="F49" s="217"/>
      <c r="G49" s="217"/>
      <c r="H49" s="217"/>
      <c r="I49" s="216">
        <v>-152</v>
      </c>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891.77</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1150.42</v>
      </c>
      <c r="AV50" s="220"/>
      <c r="AW50" s="297"/>
    </row>
    <row r="51" spans="2:49" x14ac:dyDescent="0.2">
      <c r="B51" s="239" t="s">
        <v>266</v>
      </c>
      <c r="C51" s="203"/>
      <c r="D51" s="216">
        <v>4911069</v>
      </c>
      <c r="E51" s="217">
        <v>4914205</v>
      </c>
      <c r="F51" s="217"/>
      <c r="G51" s="217"/>
      <c r="H51" s="217"/>
      <c r="I51" s="216">
        <v>4914205</v>
      </c>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1171901</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10715</v>
      </c>
      <c r="E56" s="229">
        <v>10715</v>
      </c>
      <c r="F56" s="229"/>
      <c r="G56" s="229"/>
      <c r="H56" s="229"/>
      <c r="I56" s="228">
        <v>10715</v>
      </c>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2899</v>
      </c>
      <c r="AV56" s="230">
        <v>0</v>
      </c>
      <c r="AW56" s="288"/>
    </row>
    <row r="57" spans="2:49" x14ac:dyDescent="0.2">
      <c r="B57" s="245" t="s">
        <v>272</v>
      </c>
      <c r="C57" s="203" t="s">
        <v>25</v>
      </c>
      <c r="D57" s="231">
        <v>14112</v>
      </c>
      <c r="E57" s="232">
        <v>14112</v>
      </c>
      <c r="F57" s="232"/>
      <c r="G57" s="232"/>
      <c r="H57" s="232"/>
      <c r="I57" s="231">
        <v>14112</v>
      </c>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2899</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209852</v>
      </c>
      <c r="E59" s="232">
        <v>210962</v>
      </c>
      <c r="F59" s="232"/>
      <c r="G59" s="232"/>
      <c r="H59" s="232"/>
      <c r="I59" s="231">
        <v>210962</v>
      </c>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33714</v>
      </c>
      <c r="AV59" s="233">
        <v>0</v>
      </c>
      <c r="AW59" s="289"/>
    </row>
    <row r="60" spans="2:49" x14ac:dyDescent="0.2">
      <c r="B60" s="245" t="s">
        <v>275</v>
      </c>
      <c r="C60" s="203"/>
      <c r="D60" s="234">
        <f t="shared" ref="D60:AC60" si="0">D$59/12</f>
        <v>17487.666666666668</v>
      </c>
      <c r="E60" s="235">
        <f t="shared" si="0"/>
        <v>17580.166666666668</v>
      </c>
      <c r="F60" s="235">
        <f t="shared" si="0"/>
        <v>0</v>
      </c>
      <c r="G60" s="235">
        <f t="shared" si="0"/>
        <v>0</v>
      </c>
      <c r="H60" s="235">
        <f t="shared" si="0"/>
        <v>0</v>
      </c>
      <c r="I60" s="234">
        <f t="shared" si="0"/>
        <v>17580.166666666668</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2809.5</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31616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11131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81" yWindow="74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6" sqref="E56:E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45366071</v>
      </c>
      <c r="E5" s="326">
        <v>60800064</v>
      </c>
      <c r="F5" s="326"/>
      <c r="G5" s="328"/>
      <c r="H5" s="328"/>
      <c r="I5" s="325">
        <v>60800064</v>
      </c>
      <c r="J5" s="325">
        <v>0</v>
      </c>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27431296</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-877552</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-13537824</v>
      </c>
      <c r="E11" s="319"/>
      <c r="F11" s="319"/>
      <c r="G11" s="319"/>
      <c r="H11" s="319"/>
      <c r="I11" s="318">
        <v>0</v>
      </c>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1096</v>
      </c>
      <c r="AV11" s="368"/>
      <c r="AW11" s="374"/>
    </row>
    <row r="12" spans="2:49" ht="15" customHeight="1" x14ac:dyDescent="0.2">
      <c r="B12" s="343" t="s">
        <v>282</v>
      </c>
      <c r="C12" s="331" t="s">
        <v>44</v>
      </c>
      <c r="D12" s="318">
        <v>-6423974</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59</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5234618</v>
      </c>
      <c r="F15" s="319"/>
      <c r="G15" s="319"/>
      <c r="H15" s="319"/>
      <c r="I15" s="318">
        <v>5234618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-10842830</v>
      </c>
      <c r="F16" s="319"/>
      <c r="G16" s="319"/>
      <c r="H16" s="319"/>
      <c r="I16" s="318">
        <v>-10842830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39312365</v>
      </c>
      <c r="F20" s="319"/>
      <c r="G20" s="319"/>
      <c r="H20" s="319"/>
      <c r="I20" s="318">
        <v>39312365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46044715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775</v>
      </c>
      <c r="AU23" s="321">
        <v>20082973</v>
      </c>
      <c r="AV23" s="368"/>
      <c r="AW23" s="374"/>
    </row>
    <row r="24" spans="2:49" ht="28.5" customHeight="1" x14ac:dyDescent="0.2">
      <c r="B24" s="345" t="s">
        <v>114</v>
      </c>
      <c r="C24" s="331"/>
      <c r="D24" s="365"/>
      <c r="E24" s="319">
        <v>48896529</v>
      </c>
      <c r="F24" s="319"/>
      <c r="G24" s="319"/>
      <c r="H24" s="319"/>
      <c r="I24" s="318">
        <v>48896529</v>
      </c>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7437111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2459782</v>
      </c>
      <c r="AV26" s="368"/>
      <c r="AW26" s="374"/>
    </row>
    <row r="27" spans="2:49" s="5" customFormat="1" ht="25.5" x14ac:dyDescent="0.2">
      <c r="B27" s="345" t="s">
        <v>85</v>
      </c>
      <c r="C27" s="331"/>
      <c r="D27" s="365"/>
      <c r="E27" s="319">
        <v>1025203</v>
      </c>
      <c r="F27" s="319"/>
      <c r="G27" s="319"/>
      <c r="H27" s="319"/>
      <c r="I27" s="318">
        <v>1025203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9439125</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775</v>
      </c>
      <c r="AU28" s="321">
        <v>316636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-877552</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-13537824</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1096</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-6423974</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141306</v>
      </c>
      <c r="E49" s="319">
        <v>565483</v>
      </c>
      <c r="F49" s="319"/>
      <c r="G49" s="319"/>
      <c r="H49" s="319"/>
      <c r="I49" s="318">
        <v>565483</v>
      </c>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185322</v>
      </c>
      <c r="AV49" s="368"/>
      <c r="AW49" s="374"/>
    </row>
    <row r="50" spans="2:49" x14ac:dyDescent="0.2">
      <c r="B50" s="343" t="s">
        <v>119</v>
      </c>
      <c r="C50" s="331" t="s">
        <v>34</v>
      </c>
      <c r="D50" s="318">
        <v>32046</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15341</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35942039</v>
      </c>
      <c r="E54" s="323">
        <f>E24+E27+E31+E35-E36+E39+E42+E45+E46-E49+E51+E52+E53</f>
        <v>49356249</v>
      </c>
      <c r="F54" s="323">
        <f>F24+F27+F31+F35-F36+F39+F42+F45+F46-F49+F51+F52+F53</f>
        <v>0</v>
      </c>
      <c r="G54" s="323">
        <f>G24+G27+G31+G35-G36+G39+G42+G45+G46-G49+G51+G52+G53</f>
        <v>0</v>
      </c>
      <c r="H54" s="323">
        <f>H24+H27+H31+H35-H36+H39+H42+H45+H46-H49+H51+H52+H53</f>
        <v>0</v>
      </c>
      <c r="I54" s="322">
        <f>I24+I27+I31+I35-I36+I39+I42+I45+I46-I49+I51+I52+I53</f>
        <v>49356249</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22057175</v>
      </c>
      <c r="AV54" s="368"/>
      <c r="AW54" s="374"/>
    </row>
    <row r="55" spans="2:49" ht="25.5" x14ac:dyDescent="0.2">
      <c r="B55" s="348" t="s">
        <v>493</v>
      </c>
      <c r="C55" s="335" t="s">
        <v>28</v>
      </c>
      <c r="D55" s="322">
        <f t="shared" ref="D55:AC55" si="0">MIN(MAX(0,D56),MAX(0,D57))</f>
        <v>112984.18</v>
      </c>
      <c r="E55" s="323">
        <f t="shared" si="0"/>
        <v>112984</v>
      </c>
      <c r="F55" s="323">
        <f t="shared" si="0"/>
        <v>0</v>
      </c>
      <c r="G55" s="323">
        <f t="shared" si="0"/>
        <v>0</v>
      </c>
      <c r="H55" s="323">
        <f t="shared" si="0"/>
        <v>0</v>
      </c>
      <c r="I55" s="322">
        <f t="shared" si="0"/>
        <v>112984</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112984.18</v>
      </c>
      <c r="E56" s="319">
        <v>112984</v>
      </c>
      <c r="F56" s="319"/>
      <c r="G56" s="319"/>
      <c r="H56" s="319"/>
      <c r="I56" s="318">
        <v>112984</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143573</v>
      </c>
      <c r="E57" s="319">
        <v>143573</v>
      </c>
      <c r="F57" s="319"/>
      <c r="G57" s="319"/>
      <c r="H57" s="319"/>
      <c r="I57" s="318">
        <v>143573</v>
      </c>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53192</v>
      </c>
      <c r="AV57" s="321">
        <v>0</v>
      </c>
      <c r="AW57" s="374"/>
    </row>
    <row r="58" spans="2:49" s="5" customFormat="1" x14ac:dyDescent="0.2">
      <c r="B58" s="351" t="s">
        <v>494</v>
      </c>
      <c r="C58" s="352"/>
      <c r="D58" s="353"/>
      <c r="E58" s="354">
        <v>6458193.6600000001</v>
      </c>
      <c r="F58" s="354"/>
      <c r="G58" s="354"/>
      <c r="H58" s="354"/>
      <c r="I58" s="353">
        <v>4867817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435" yWindow="66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54524681.350000001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52424103.879500002</v>
      </c>
      <c r="E6" s="400">
        <f>SUM('Pt 1 Summary of Data'!E$12,'Pt 1 Summary of Data'!E$22)+SUM('Pt 1 Summary of Data'!G$12,'Pt 1 Summary of Data'!G$22)-SUM('Pt 1 Summary of Data'!H$12,'Pt 1 Summary of Data'!H$22)</f>
        <v>49469233</v>
      </c>
      <c r="F6" s="400">
        <f t="shared" ref="F6:F11" si="0">SUM(C6:E6)</f>
        <v>101893336.8795</v>
      </c>
      <c r="G6" s="401">
        <f>SUM('Pt 1 Summary of Data'!I$12,'Pt 1 Summary of Data'!I$22)</f>
        <v>49469233</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486732.71</v>
      </c>
      <c r="E7" s="400">
        <f>SUM('Pt 1 Summary of Data'!E$37:E$41)+SUM('Pt 1 Summary of Data'!G$37:G$41)-SUM('Pt 1 Summary of Data'!H$37:H$41)+MAX(0,MIN('Pt 1 Summary of Data'!E$42+'Pt 1 Summary of Data'!G$42-'Pt 1 Summary of Data'!H$42,0.3%*('Pt 1 Summary of Data'!E$5+'Pt 1 Summary of Data'!G$5-'Pt 1 Summary of Data'!H$5-SUM(E$9:E$11))))</f>
        <v>415822</v>
      </c>
      <c r="F7" s="400">
        <f t="shared" si="0"/>
        <v>902554.71</v>
      </c>
      <c r="G7" s="401">
        <f>SUM('Pt 1 Summary of Data'!I$37:I$41)+MAX(0,MIN(VALUE('Pt 1 Summary of Data'!I$42),0.3%*('Pt 1 Summary of Data'!I$5-SUM(G$9:G$10))))</f>
        <v>415822</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8066680.0599999996</v>
      </c>
      <c r="E8" s="400">
        <f>'Pt 2 Premium and Claims'!E58+'Pt 2 Premium and Claims'!G58-'Pt 2 Premium and Claims'!H58</f>
        <v>6458193.6600000001</v>
      </c>
      <c r="F8" s="400">
        <f t="shared" si="0"/>
        <v>14524873.719999999</v>
      </c>
      <c r="G8" s="401">
        <f>'Pt 2 Premium and Claims'!I58</f>
        <v>4867817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6808276.0899999999</v>
      </c>
      <c r="E9" s="400">
        <f>'Pt 2 Premium and Claims'!E$15+'Pt 2 Premium and Claims'!G$15-'Pt 2 Premium and Claims'!H$15</f>
        <v>5234618</v>
      </c>
      <c r="F9" s="400">
        <f t="shared" si="0"/>
        <v>12042894.09</v>
      </c>
      <c r="G9" s="401">
        <f>'Pt 2 Premium and Claims'!I$15</f>
        <v>5234618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-25129449.510000002</v>
      </c>
      <c r="E10" s="400">
        <f>'Pt 2 Premium and Claims'!E$16+'Pt 2 Premium and Claims'!G$16-'Pt 2 Premium and Claims'!H$16</f>
        <v>-10842830</v>
      </c>
      <c r="F10" s="400">
        <f t="shared" si="0"/>
        <v>-35972279.510000005</v>
      </c>
      <c r="G10" s="401">
        <f>'Pt 2 Premium and Claims'!I$16</f>
        <v>-10842830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983879.25</v>
      </c>
      <c r="E11" s="400">
        <f>'Pt 2 Premium and Claims'!E$17+'Pt 2 Premium and Claims'!G$17-'Pt 2 Premium and Claims'!H$17</f>
        <v>0</v>
      </c>
      <c r="F11" s="400">
        <f t="shared" si="0"/>
        <v>983879.25</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62181450.699500009</v>
      </c>
      <c r="E12" s="400">
        <f>SUM(E$6:E$7)-SUM(E$8:E$11)+IF(AND(OR('Company Information'!$C$12="District of Columbia",'Company Information'!$C$12="Massachusetts",'Company Information'!$C$12="Vermont"),SUM($C$6:$F$11,$C$15:$F$16,$C$38:$D$38)&lt;&gt;0),SUM(J$6:J$7)-SUM(J$10:J$11),0)</f>
        <v>49035073.340000004</v>
      </c>
      <c r="F12" s="400">
        <f>IFERROR(SUM(C$12:E$12)+C$17*MAX(0,E$50-C$50)+D$17*MAX(0,E$50-D$50),0)</f>
        <v>111216524.03950001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68045829.769999996</v>
      </c>
      <c r="E15" s="395">
        <f>SUM('Pt 1 Summary of Data'!E$5:E$7)+SUM('Pt 1 Summary of Data'!G$5:G$7)-SUM('Pt 1 Summary of Data'!H$5:H$7)-SUM(E$9:E$11)</f>
        <v>60800064</v>
      </c>
      <c r="F15" s="395">
        <f>SUM(C15:E15)</f>
        <v>128845893.77</v>
      </c>
      <c r="G15" s="396">
        <f>SUM('Pt 1 Summary of Data'!I$5:I$7)-SUM(G$9:G$10)</f>
        <v>60800064</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3691841.12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4171272.8256607493</v>
      </c>
      <c r="F16" s="400">
        <f>SUM(C16:E16)</f>
        <v>7863113.9456607495</v>
      </c>
      <c r="G16" s="401">
        <f>SUM('Pt 1 Summary of Data'!I$25:I$28,'Pt 1 Summary of Data'!I$30,'Pt 1 Summary of Data'!I$34:I$35)+IF('Company Information'!$C$15="No",IF(MAX('Pt 1 Summary of Data'!I$31:I$32)=0,MIN('Pt 1 Summary of Data'!I$31:I$32),MAX('Pt 1 Summary of Data'!I$31:I$32)),SUM('Pt 1 Summary of Data'!I$31:I$32))</f>
        <v>1172241</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7.0000000000000007E-2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0.01</v>
      </c>
      <c r="P16" s="400">
        <f>SUM(M16:O16)</f>
        <v>0.08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64353988.649999999</v>
      </c>
      <c r="E17" s="400">
        <f>E$15-E$16+IF(AND(OR('Company Information'!$C$12="District of Columbia",'Company Information'!$C$12="Massachusetts",'Company Information'!$C$12="Vermont"),SUM($C$6:$F$11,$C$15:$F$16,$C$38:$D$38)&lt;&gt;0),J$15-J$16,0)</f>
        <v>56628791.17433925</v>
      </c>
      <c r="F17" s="400">
        <f>F$15-F$16+IF(AND(OR('Company Information'!$C$12="District of Columbia",'Company Information'!$C$12="Massachusetts",'Company Information'!$C$12="Vermont"),SUM($C$6:$F$11,$C$15:$F$16,$C$38:$D$38)&lt;&gt;0),K$15-K$16,0)</f>
        <v>120982779.82433924</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-7.0000000000000007E-2</v>
      </c>
      <c r="O17" s="400">
        <f>O$15-O$16</f>
        <v>-0.01</v>
      </c>
      <c r="P17" s="400">
        <f>P$15-P$16</f>
        <v>-0.08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48598002</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8326107</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2981391.1500000004</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2703714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2981391.1500000004</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1788834.69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12479739.15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12479739.15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14290362.060000001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48320324.850000001</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12202062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2703714</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12202062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13097805.600000001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48598002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22441.58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17580.166666666668</v>
      </c>
      <c r="F38" s="432">
        <f>SUM(C$38:E$38)+IF(AND(OR('Company Information'!$C$12="District of Columbia",'Company Information'!$C$12="Massachusetts",'Company Information'!$C$12="Vermont"),SUM($C$6:$F$11,$C$15:$F$16,$C$38:$D$38)&lt;&gt;0,SUM(C$38:D$38)&lt;&gt;SUM(H$38:I$38)),SUM(H$38:I$38),0)</f>
        <v>40021.746666666673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1.3596520533333333E-2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1.8544566285823998E-2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0.96624081900632919</v>
      </c>
      <c r="E45" s="436">
        <f>IF(OR(E$38&lt;1000,E$17&lt;=0),"",E$12/E$17)</f>
        <v>0.8659035858462707</v>
      </c>
      <c r="F45" s="436">
        <f>IF(OR(F$38&lt;1000,F$17&lt;=0),"",F$12/F$17)</f>
        <v>0.91927565394827815</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1.8544566285823998E-2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0.93799999999999994</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0.93799999999999994</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56628791.17433925</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-2027448</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54524156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52496708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10715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