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P39" i="10" s="1"/>
  <c r="N45" i="10"/>
  <c r="M45" i="10"/>
  <c r="AN42" i="10"/>
  <c r="AB42" i="10"/>
  <c r="X42" i="10"/>
  <c r="T42" i="10"/>
  <c r="P42" i="10"/>
  <c r="AN41" i="10"/>
  <c r="AB41" i="10"/>
  <c r="X41" i="10"/>
  <c r="T41" i="10"/>
  <c r="P41" i="10"/>
  <c r="K41" i="10"/>
  <c r="F41" i="10"/>
  <c r="AN39" i="10"/>
  <c r="T39" i="10"/>
  <c r="AN38" i="10"/>
  <c r="AM38" i="10"/>
  <c r="AB38" i="10"/>
  <c r="AA38" i="10"/>
  <c r="X38" i="10"/>
  <c r="W38" i="10"/>
  <c r="T38" i="10"/>
  <c r="S38" i="10"/>
  <c r="P38" i="10"/>
  <c r="O38" i="10"/>
  <c r="L32" i="10"/>
  <c r="L27" i="10"/>
  <c r="L24" i="10"/>
  <c r="L23" i="10"/>
  <c r="L20" i="10"/>
  <c r="L19" i="10"/>
  <c r="L22"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S13" i="10" s="1"/>
  <c r="P16" i="10"/>
  <c r="O16" i="10"/>
  <c r="L16" i="10"/>
  <c r="K16" i="10"/>
  <c r="J16" i="10"/>
  <c r="G16" i="10"/>
  <c r="F16" i="10"/>
  <c r="E16" i="10"/>
  <c r="AN15" i="10"/>
  <c r="AM15" i="10"/>
  <c r="AB15" i="10"/>
  <c r="AA15" i="10"/>
  <c r="X15" i="10"/>
  <c r="W15" i="10"/>
  <c r="T15" i="10"/>
  <c r="S15" i="10"/>
  <c r="P15" i="10"/>
  <c r="O15" i="10"/>
  <c r="L15" i="10"/>
  <c r="AN13" i="10"/>
  <c r="AM13" i="10"/>
  <c r="AL13" i="10"/>
  <c r="AK13" i="10"/>
  <c r="AB13" i="10"/>
  <c r="AA13" i="10"/>
  <c r="Z13" i="10"/>
  <c r="Y13" i="10"/>
  <c r="W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T22" i="4" s="1"/>
  <c r="AS55" i="18"/>
  <c r="AS22" i="4" s="1"/>
  <c r="AR55" i="18"/>
  <c r="AQ55" i="18"/>
  <c r="AP55" i="18"/>
  <c r="AO55" i="18"/>
  <c r="AN55" i="18"/>
  <c r="AC55" i="18"/>
  <c r="AB55" i="18"/>
  <c r="AA55" i="18"/>
  <c r="Z55" i="18"/>
  <c r="Y55" i="18"/>
  <c r="X55" i="18"/>
  <c r="W55" i="18"/>
  <c r="V55" i="18"/>
  <c r="U55" i="18"/>
  <c r="T55" i="18"/>
  <c r="S55" i="18"/>
  <c r="R55" i="18"/>
  <c r="Q55" i="18"/>
  <c r="Q22" i="4" s="1"/>
  <c r="P55" i="18"/>
  <c r="P22" i="4" s="1"/>
  <c r="O55" i="18"/>
  <c r="O22" i="4" s="1"/>
  <c r="N55" i="18"/>
  <c r="M55" i="18"/>
  <c r="L55" i="18"/>
  <c r="L22" i="4" s="1"/>
  <c r="K55" i="18"/>
  <c r="K22" i="4" s="1"/>
  <c r="J55" i="18"/>
  <c r="J22" i="4" s="1"/>
  <c r="I55" i="18"/>
  <c r="I22" i="4" s="1"/>
  <c r="H55" i="18"/>
  <c r="H22" i="4" s="1"/>
  <c r="G55" i="18"/>
  <c r="G22" i="4" s="1"/>
  <c r="F55" i="18"/>
  <c r="E55" i="18"/>
  <c r="D55" i="18"/>
  <c r="AU54" i="18"/>
  <c r="AT54" i="18"/>
  <c r="AT12" i="4" s="1"/>
  <c r="AS54" i="18"/>
  <c r="AS12" i="4" s="1"/>
  <c r="AR54" i="18"/>
  <c r="AR12" i="4" s="1"/>
  <c r="AQ54" i="18"/>
  <c r="AQ12" i="4" s="1"/>
  <c r="AP54" i="18"/>
  <c r="AP12" i="4" s="1"/>
  <c r="AO54" i="18"/>
  <c r="AO12" i="4" s="1"/>
  <c r="AN54" i="18"/>
  <c r="AC54" i="18"/>
  <c r="AC12" i="4" s="1"/>
  <c r="AB54" i="18"/>
  <c r="AA54" i="18"/>
  <c r="Z54" i="18"/>
  <c r="Z12" i="4" s="1"/>
  <c r="Y54" i="18"/>
  <c r="X54" i="18"/>
  <c r="X12" i="4" s="1"/>
  <c r="W54" i="18"/>
  <c r="V54" i="18"/>
  <c r="U54" i="18"/>
  <c r="T54" i="18"/>
  <c r="T12" i="4" s="1"/>
  <c r="S54" i="18"/>
  <c r="S12" i="4" s="1"/>
  <c r="R54" i="18"/>
  <c r="R12" i="4" s="1"/>
  <c r="Q54" i="18"/>
  <c r="Q12" i="4" s="1"/>
  <c r="P54" i="18"/>
  <c r="P12" i="4" s="1"/>
  <c r="O54" i="18"/>
  <c r="O12" i="4" s="1"/>
  <c r="N54" i="18"/>
  <c r="M54" i="18"/>
  <c r="M12" i="4" s="1"/>
  <c r="L54" i="18"/>
  <c r="L12" i="4" s="1"/>
  <c r="K54" i="18"/>
  <c r="K12" i="4" s="1"/>
  <c r="J54" i="18"/>
  <c r="J12" i="4" s="1"/>
  <c r="I54" i="18"/>
  <c r="H54" i="18"/>
  <c r="G54" i="18"/>
  <c r="G12" i="4" s="1"/>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R22" i="4"/>
  <c r="AQ22" i="4"/>
  <c r="AP22" i="4"/>
  <c r="AO22" i="4"/>
  <c r="AN22" i="4"/>
  <c r="AC22" i="4"/>
  <c r="AB22" i="4"/>
  <c r="AA22" i="4"/>
  <c r="Z22" i="4"/>
  <c r="Y22" i="4"/>
  <c r="X22" i="4"/>
  <c r="W22" i="4"/>
  <c r="V22" i="4"/>
  <c r="U22" i="4"/>
  <c r="T22" i="4"/>
  <c r="S22" i="4"/>
  <c r="R22" i="4"/>
  <c r="N22" i="4"/>
  <c r="M22" i="4"/>
  <c r="F22" i="4"/>
  <c r="E22" i="4"/>
  <c r="D22" i="4"/>
  <c r="AU12" i="4"/>
  <c r="AN12" i="4"/>
  <c r="AB12" i="4"/>
  <c r="AA12" i="4"/>
  <c r="Y12" i="4"/>
  <c r="W12" i="4"/>
  <c r="V12" i="4"/>
  <c r="U12" i="4"/>
  <c r="N12" i="4"/>
  <c r="I12" i="4"/>
  <c r="H12" i="4"/>
  <c r="F12" i="4"/>
  <c r="AU5" i="4"/>
  <c r="AT5" i="4"/>
  <c r="AS5" i="4"/>
  <c r="AR5" i="4"/>
  <c r="AQ5" i="4"/>
  <c r="AP5" i="4"/>
  <c r="AO5" i="4"/>
  <c r="AN5" i="4"/>
  <c r="AC5" i="4"/>
  <c r="AB5" i="4"/>
  <c r="AA5" i="4"/>
  <c r="Z5" i="4"/>
  <c r="Y5" i="4"/>
  <c r="X5" i="4"/>
  <c r="W5" i="4"/>
  <c r="V5" i="4"/>
  <c r="U5" i="4"/>
  <c r="T5" i="4"/>
  <c r="S5" i="4"/>
  <c r="R5" i="4"/>
  <c r="Q5" i="4"/>
  <c r="P5" i="4"/>
  <c r="O5" i="4"/>
  <c r="N5" i="4"/>
  <c r="J15" i="10" s="1"/>
  <c r="M5" i="4"/>
  <c r="L5" i="4"/>
  <c r="K5" i="4"/>
  <c r="J7" i="10" s="1"/>
  <c r="J5" i="4"/>
  <c r="I5" i="4"/>
  <c r="G7" i="10" s="1"/>
  <c r="H5" i="4"/>
  <c r="G5" i="4"/>
  <c r="F5" i="4"/>
  <c r="E5" i="4"/>
  <c r="E15" i="10" s="1"/>
  <c r="D5" i="4"/>
  <c r="K7" i="10" l="1"/>
  <c r="J38" i="10"/>
  <c r="I12" i="10"/>
  <c r="K15" i="10"/>
  <c r="K17" i="10" s="1"/>
  <c r="J17" i="10"/>
  <c r="F15" i="10"/>
  <c r="G19" i="10"/>
  <c r="J12" i="10"/>
  <c r="G15" i="10"/>
  <c r="E7" i="10"/>
  <c r="L30" i="10"/>
  <c r="L31" i="10" s="1"/>
  <c r="P47" i="10"/>
  <c r="P48" i="10" s="1"/>
  <c r="P51" i="10" s="1"/>
  <c r="P53" i="10" s="1"/>
  <c r="E11" i="16" s="1"/>
  <c r="L29" i="10"/>
  <c r="L33" i="10" s="1"/>
  <c r="L34" i="10" s="1"/>
  <c r="AB39" i="10"/>
  <c r="X39" i="10"/>
  <c r="L25" i="10"/>
  <c r="L28" i="10" s="1"/>
  <c r="L21" i="10"/>
  <c r="L26" i="10" s="1"/>
  <c r="T13" i="10"/>
  <c r="X13" i="10"/>
  <c r="U13" i="10"/>
  <c r="Q13" i="10"/>
  <c r="R13" i="10"/>
  <c r="F7" i="10" l="1"/>
  <c r="D12" i="10" s="1"/>
  <c r="C17" i="10"/>
  <c r="J45" i="10"/>
  <c r="K38" i="10"/>
  <c r="G27" i="10"/>
  <c r="G23" i="10"/>
  <c r="G32" i="10"/>
  <c r="G24" i="10"/>
  <c r="E17" i="10"/>
  <c r="H17" i="10"/>
  <c r="F17" i="10"/>
  <c r="I17" i="10"/>
  <c r="I45" i="10" s="1"/>
  <c r="C12" i="10"/>
  <c r="G20" i="10"/>
  <c r="G22" i="10" s="1"/>
  <c r="E12" i="10"/>
  <c r="H12" i="10"/>
  <c r="C45" i="10" l="1"/>
  <c r="G30" i="10"/>
  <c r="G31" i="10" s="1"/>
  <c r="G29" i="10" s="1"/>
  <c r="G33" i="10" s="1"/>
  <c r="G34" i="10" s="1"/>
  <c r="G21" i="10"/>
  <c r="G26" i="10" s="1"/>
  <c r="G25" i="10" s="1"/>
  <c r="G28" i="10" s="1"/>
  <c r="K52" i="10"/>
  <c r="K42" i="10"/>
  <c r="E38" i="10"/>
  <c r="D17" i="10"/>
  <c r="D45" i="10" s="1"/>
  <c r="H45" i="10"/>
  <c r="K39" i="10" s="1"/>
  <c r="K12" i="10"/>
  <c r="K45" i="10" s="1"/>
  <c r="K47" i="10" s="1"/>
  <c r="K48" i="10" s="1"/>
  <c r="K51" i="10" s="1"/>
  <c r="K53" i="10" s="1"/>
  <c r="D11" i="16" s="1"/>
  <c r="F12" i="10" l="1"/>
  <c r="F38" i="10"/>
  <c r="E45" i="10"/>
  <c r="F52" i="10" l="1"/>
  <c r="F42" i="10"/>
  <c r="F39" i="10"/>
  <c r="F45" i="10"/>
  <c r="F47" i="10" s="1"/>
  <c r="F48" i="10" s="1"/>
  <c r="F51" i="10" s="1"/>
  <c r="F53" i="10" s="1"/>
  <c r="C11" i="16" s="1"/>
</calcChain>
</file>

<file path=xl/sharedStrings.xml><?xml version="1.0" encoding="utf-8"?>
<sst xmlns="http://schemas.openxmlformats.org/spreadsheetml/2006/main" count="635" uniqueCount="535">
  <si>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</si>
  <si>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</si>
  <si>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</si>
  <si>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</si>
  <si>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</si>
  <si>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</si>
  <si>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</si>
  <si>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</si>
  <si>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</si>
  <si>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</si>
  <si>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</si>
  <si>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</si>
  <si>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</si>
  <si>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</si>
  <si>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</si>
  <si>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</si>
  <si>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</si>
  <si>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</si>
  <si>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</si>
  <si>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</si>
  <si>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</si>
  <si>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</si>
  <si>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</si>
  <si>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</si>
  <si>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</si>
  <si>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</si>
  <si>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</si>
  <si>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</si>
  <si>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</si>
  <si>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</si>
  <si>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</si>
  <si>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</si>
  <si>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</si>
  <si>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</si>
  <si>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</si>
  <si>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</si>
  <si>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</si>
  <si>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</si>
  <si>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</si>
  <si>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</si>
  <si>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</si>
  <si>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</si>
  <si>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</si>
  <si>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</si>
  <si>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</si>
  <si>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</si>
  <si>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</si>
  <si>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</si>
  <si>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</si>
  <si>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</si>
  <si>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</si>
  <si>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</si>
  <si>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</si>
  <si>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</si>
  <si>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</si>
  <si>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</si>
  <si>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</si>
  <si>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</si>
  <si>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</si>
  <si>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</si>
  <si>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</si>
  <si>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</si>
  <si>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</si>
  <si>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</si>
  <si>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</si>
  <si>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</si>
  <si>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</si>
  <si>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</si>
  <si>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</si>
  <si>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</si>
  <si>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</si>
  <si>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</si>
  <si>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</si>
  <si>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</si>
  <si>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</si>
  <si>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</si>
  <si>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</si>
  <si>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</si>
  <si>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</si>
  <si>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</si>
  <si>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</si>
  <si>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</si>
  <si>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</si>
  <si>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</si>
  <si>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</si>
  <si>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</si>
  <si>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</si>
  <si>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</si>
  <si>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</si>
  <si>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</si>
  <si>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</si>
  <si>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</si>
  <si>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</si>
  <si>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</si>
  <si>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</si>
  <si>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</si>
  <si>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</si>
  <si>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</si>
  <si>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</si>
  <si>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</si>
  <si>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</si>
  <si>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</si>
  <si>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</si>
  <si>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</si>
  <si>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</si>
  <si>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</si>
  <si>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</si>
  <si>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</si>
  <si>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</si>
  <si>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</si>
  <si>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</si>
  <si>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</si>
  <si>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</si>
  <si>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</si>
  <si>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</si>
  <si>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</si>
  <si>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</si>
  <si>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</si>
  <si>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</si>
  <si>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</si>
  <si>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</si>
  <si>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</si>
  <si>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</si>
  <si>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</si>
  <si>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</si>
  <si>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</si>
  <si>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</si>
  <si>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</si>
  <si>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</si>
  <si>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</si>
  <si>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</si>
  <si>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</si>
  <si>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</si>
  <si>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</si>
  <si>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</si>
  <si>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</si>
  <si>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</si>
  <si>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</si>
  <si>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</si>
  <si>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</si>
  <si>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</si>
  <si>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</si>
  <si>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</si>
  <si>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</si>
  <si>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</si>
  <si>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</si>
  <si>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</si>
  <si>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</si>
  <si>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</si>
  <si>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</si>
  <si>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</si>
  <si>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</si>
  <si>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</si>
  <si>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</si>
  <si>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</si>
  <si>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</si>
  <si>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</si>
  <si>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</si>
  <si>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</si>
  <si>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</si>
  <si>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</si>
  <si>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</si>
  <si>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</si>
  <si>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</si>
  <si>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</si>
  <si>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</si>
  <si>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</si>
  <si>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</si>
  <si>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</si>
  <si>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</si>
  <si>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</si>
  <si>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</si>
  <si>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</si>
  <si>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</si>
  <si>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</si>
  <si>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</si>
  <si>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</si>
  <si>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</si>
  <si>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</si>
  <si>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</si>
  <si>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</si>
  <si>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</si>
  <si>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</si>
  <si>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</si>
  <si>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</si>
  <si>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</si>
  <si>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</si>
  <si>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</si>
  <si>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</si>
  <si>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</si>
  <si>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</si>
  <si>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</si>
  <si>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</si>
  <si>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</si>
  <si>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</si>
  <si>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</si>
  <si>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</si>
  <si>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</si>
  <si>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</si>
  <si>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</si>
  <si>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</si>
  <si>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</si>
  <si>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</si>
  <si>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</si>
  <si>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</si>
  <si>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</si>
  <si>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</si>
  <si>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</si>
  <si>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</si>
  <si>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</si>
  <si>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</si>
  <si>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</si>
  <si>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</si>
  <si>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</si>
  <si>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</si>
  <si>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</si>
  <si>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</si>
  <si>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</si>
  <si>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</si>
  <si>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</si>
  <si>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</si>
  <si>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</si>
  <si>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</si>
  <si>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</si>
  <si>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</si>
  <si>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</si>
  <si>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</si>
  <si>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</si>
  <si>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</si>
  <si>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</si>
  <si>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</si>
  <si>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</si>
  <si>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</si>
  <si>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</si>
  <si>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</si>
  <si>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</si>
  <si>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</si>
  <si>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</si>
  <si>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</si>
  <si>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</si>
  <si>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</si>
  <si>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</si>
  <si>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</si>
  <si>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</si>
  <si>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</si>
  <si>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</si>
  <si>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</si>
  <si>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</si>
  <si>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</si>
  <si>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</si>
  <si>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</si>
  <si>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</si>
  <si>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</si>
  <si>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</si>
  <si>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</si>
  <si>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</si>
  <si>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</si>
  <si>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</si>
  <si>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</si>
  <si>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</si>
  <si>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</si>
  <si>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</si>
  <si>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</si>
  <si>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</si>
  <si>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</si>
  <si>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</si>
  <si>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</si>
  <si>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</si>
  <si>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</si>
  <si>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</si>
  <si>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</si>
  <si>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</si>
  <si>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</si>
  <si>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</si>
  <si>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</si>
  <si>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</si>
  <si>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</si>
  <si>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</si>
  <si>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</si>
  <si>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</si>
  <si>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</si>
  <si>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</si>
  <si>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</si>
  <si>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</si>
  <si>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</si>
  <si>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</si>
  <si>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</si>
  <si>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</si>
  <si>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</si>
  <si>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</si>
  <si>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</si>
  <si>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</si>
  <si>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</si>
  <si>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</si>
  <si>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</si>
  <si>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</si>
  <si>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</si>
  <si>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</si>
  <si>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</si>
  <si>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</si>
  <si>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</si>
  <si>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</si>
  <si>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</si>
  <si>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</si>
  <si>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</si>
  <si>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</si>
  <si>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</si>
  <si>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</si>
  <si>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</si>
  <si>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</si>
  <si>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</si>
  <si>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</si>
  <si>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</si>
  <si>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</si>
  <si>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</si>
  <si>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</si>
  <si>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</si>
  <si>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</si>
  <si>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</si>
  <si>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</si>
  <si>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</si>
  <si>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</si>
  <si>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</si>
  <si>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</si>
  <si>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</si>
  <si>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</si>
  <si>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</si>
  <si>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</si>
  <si>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</si>
  <si>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</si>
  <si>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</si>
  <si>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</si>
  <si>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</si>
  <si>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</si>
  <si>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</si>
  <si>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</si>
  <si>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</si>
  <si>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</si>
  <si>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</si>
  <si>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</si>
  <si>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</si>
  <si>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</si>
  <si>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</si>
  <si>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</si>
  <si>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</si>
  <si>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</si>
  <si>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</si>
  <si>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</si>
  <si>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</si>
  <si>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</si>
  <si>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</si>
  <si>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</si>
  <si>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</si>
  <si>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</si>
  <si>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</si>
  <si>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</si>
  <si>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</si>
  <si>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</si>
  <si>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</si>
  <si>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</si>
  <si>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</si>
  <si>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</si>
  <si>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</si>
  <si>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</si>
  <si>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</si>
  <si>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</si>
  <si>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</si>
  <si>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</si>
  <si>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</si>
  <si>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</si>
  <si>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</si>
  <si>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</si>
  <si>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</si>
  <si>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</si>
  <si>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</si>
  <si>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</si>
  <si>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</si>
  <si>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</si>
  <si>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</si>
  <si>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</si>
  <si>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</si>
  <si>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</si>
  <si>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</si>
  <si>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</si>
  <si>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</si>
  <si>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</si>
  <si>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</si>
  <si>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</si>
  <si>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</si>
  <si>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</si>
  <si>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</si>
  <si>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</si>
  <si>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</si>
  <si>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</si>
  <si>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</si>
  <si>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</si>
  <si>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</si>
  <si>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</si>
  <si>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</si>
  <si>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</si>
  <si>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</si>
  <si>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</si>
  <si>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</si>
  <si>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</si>
  <si>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</si>
  <si>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</si>
  <si>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</si>
  <si>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</si>
  <si>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</si>
  <si>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</si>
  <si>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</si>
  <si>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</si>
  <si>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</si>
  <si>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</si>
  <si>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</si>
  <si>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</si>
  <si>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</si>
  <si>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</si>
  <si>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</si>
  <si>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</si>
  <si>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</si>
  <si>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</si>
  <si>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</si>
  <si>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</si>
  <si>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</si>
  <si>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</si>
  <si>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</si>
  <si>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</si>
  <si>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</si>
  <si>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</si>
  <si>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</si>
  <si>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</si>
  <si>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</si>
  <si>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</si>
  <si>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</si>
  <si>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</si>
  <si>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</si>
  <si>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</si>
  <si>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</si>
  <si>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</si>
  <si>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</si>
  <si>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</si>
  <si>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</si>
  <si>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</si>
  <si>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</si>
  <si>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</si>
  <si>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</si>
  <si>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</si>
  <si>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</si>
  <si>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</si>
  <si>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</si>
  <si>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</si>
  <si>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</si>
  <si>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</si>
  <si>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</si>
  <si>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</si>
  <si>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</si>
  <si>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</si>
  <si>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</si>
  <si>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</si>
  <si>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</si>
  <si>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</si>
  <si>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</si>
  <si>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</si>
  <si>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</si>
  <si>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</si>
  <si>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</si>
  <si>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</si>
  <si>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</si>
  <si>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</si>
  <si>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</si>
  <si>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</si>
  <si>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</si>
  <si>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</si>
  <si>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</si>
  <si>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</si>
  <si>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</si>
  <si>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</si>
  <si>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</si>
  <si>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</si>
  <si>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</si>
  <si>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</si>
  <si>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</si>
  <si>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</si>
  <si>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</si>
  <si>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</si>
  <si>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</si>
  <si>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</si>
  <si>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</si>
  <si>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</si>
  <si>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</si>
  <si>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</si>
  <si>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</si>
  <si>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</si>
  <si>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</si>
  <si>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</si>
  <si>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Employers Health Plan of Georgia, Inc.</t>
  </si>
  <si>
    <t>HUMANA GRP</t>
  </si>
  <si>
    <t>Humana</t>
  </si>
  <si>
    <t>119</t>
  </si>
  <si>
    <t>2015</t>
  </si>
  <si>
    <t>900 Ashwood Parkway, Suite 400 Atlanta, GA 30338</t>
  </si>
  <si>
    <t>582209549</t>
  </si>
  <si>
    <t>095519</t>
  </si>
  <si>
    <t>95519</t>
  </si>
  <si>
    <t>212</t>
  </si>
  <si>
    <t>Humana Health Insurance Company of Florida, Inc.</t>
  </si>
  <si>
    <t>Humana Health Plan of Ohio, Inc.</t>
  </si>
  <si>
    <t>Humana Health Plan of Texas, Inc.</t>
  </si>
  <si>
    <t>Humana Health Plan, Inc.</t>
  </si>
  <si>
    <t>Humana Insurance Company</t>
  </si>
  <si>
    <t>Humana Medical Plan,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</si>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</sst>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1162693134</v>
      </c>
      <c r="E5" s="213">
        <f>SUM('Pt 2 Premium and Claims'!E$5,'Pt 2 Premium and Claims'!E$6,-'Pt 2 Premium and Claims'!E$7,-'Pt 2 Premium and Claims'!E$13,'Pt 2 Premium and Claims'!E$14:'Pt 2 Premium and Claims'!E$17)</f>
        <v>1439684439.23</v>
      </c>
      <c r="F5" s="213">
        <f>SUM('Pt 2 Premium and Claims'!F$5,'Pt 2 Premium and Claims'!F$6,-'Pt 2 Premium and Claims'!F$7,-'Pt 2 Premium and Claims'!F$13,'Pt 2 Premium and Claims'!F$14:'Pt 2 Premium and Claims'!F$17)</f>
        <v>48895434.020000003</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1431313393</v>
      </c>
      <c r="J5" s="212">
        <f>SUM('Pt 2 Premium and Claims'!J$5,'Pt 2 Premium and Claims'!J$6,-'Pt 2 Premium and Claims'!J$7,-'Pt 2 Premium and Claims'!J$13,'Pt 2 Premium and Claims'!J$14,'Pt 2 Premium and Claims'!J$16:'Pt 2 Premium and Claims'!J$17)</f>
        <v>440006951</v>
      </c>
      <c r="K5" s="213">
        <f>SUM('Pt 2 Premium and Claims'!K$5,'Pt 2 Premium and Claims'!K$6,-'Pt 2 Premium and Claims'!K$7,-'Pt 2 Premium and Claims'!K$13,'Pt 2 Premium and Claims'!K$14,'Pt 2 Premium and Claims'!K$16:'Pt 2 Premium and Claims'!K$17)</f>
        <v>513308412.51999998</v>
      </c>
      <c r="L5" s="213">
        <f>SUM('Pt 2 Premium and Claims'!L$5,'Pt 2 Premium and Claims'!L$6,-'Pt 2 Premium and Claims'!L$7,-'Pt 2 Premium and Claims'!L$13,'Pt 2 Premium and Claims'!L$14,'Pt 2 Premium and Claims'!L$16:'Pt 2 Premium and Claims'!L$17)</f>
        <v>84108838.969999999</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140753099</v>
      </c>
      <c r="Q5" s="213">
        <f>SUM('Pt 2 Premium and Claims'!Q$5,'Pt 2 Premium and Claims'!Q$6,-'Pt 2 Premium and Claims'!Q$7,-'Pt 2 Premium and Claims'!Q$13,'Pt 2 Premium and Claims'!Q$14)</f>
        <v>165986953.53999999</v>
      </c>
      <c r="R5" s="213">
        <f>SUM('Pt 2 Premium and Claims'!R$5,'Pt 2 Premium and Claims'!R$6,-'Pt 2 Premium and Claims'!R$7,-'Pt 2 Premium and Claims'!R$13,'Pt 2 Premium and Claims'!R$14)</f>
        <v>16845896.949999999</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8221844</v>
      </c>
      <c r="AU5" s="214">
        <f>SUM('Pt 2 Premium and Claims'!AU$5,'Pt 2 Premium and Claims'!AU$6,-'Pt 2 Premium and Claims'!AU$7,-'Pt 2 Premium and Claims'!AU$13,'Pt 2 Premium and Claims'!AU$14)</f>
        <v>354361407</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-103.99</v>
      </c>
      <c r="F7" s="217">
        <v>-103.99</v>
      </c>
      <c r="G7" s="217"/>
      <c r="H7" s="217"/>
      <c r="I7" s="216">
        <v>0</v>
      </c>
      <c r="J7" s="216">
        <v>0</v>
      </c>
      <c r="K7" s="217">
        <v>-1954.04</v>
      </c>
      <c r="L7" s="217">
        <v>-1954.04</v>
      </c>
      <c r="M7" s="217"/>
      <c r="N7" s="217"/>
      <c r="O7" s="216"/>
      <c r="P7" s="216">
        <v>0</v>
      </c>
      <c r="Q7" s="217">
        <v>-582.85</v>
      </c>
      <c r="R7" s="217">
        <v>-582.85</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-11124297</v>
      </c>
      <c r="E8" s="268"/>
      <c r="F8" s="269"/>
      <c r="G8" s="269"/>
      <c r="H8" s="269"/>
      <c r="I8" s="272"/>
      <c r="J8" s="216">
        <v>-901911</v>
      </c>
      <c r="K8" s="268"/>
      <c r="L8" s="269"/>
      <c r="M8" s="269"/>
      <c r="N8" s="269"/>
      <c r="O8" s="272"/>
      <c r="P8" s="216">
        <v>-207844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-45711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1222824502</v>
      </c>
      <c r="E12" s="213">
        <f>'Pt 2 Premium and Claims'!E$54</f>
        <v>1574761849.4000001</v>
      </c>
      <c r="F12" s="213">
        <f>'Pt 2 Premium and Claims'!F$54</f>
        <v>64907621.369999997</v>
      </c>
      <c r="G12" s="213">
        <f>'Pt 2 Premium and Claims'!G$54</f>
        <v>0</v>
      </c>
      <c r="H12" s="213">
        <f>'Pt 2 Premium and Claims'!H$54</f>
        <v>0</v>
      </c>
      <c r="I12" s="212">
        <f>'Pt 2 Premium and Claims'!I$54</f>
        <v>1583510647</v>
      </c>
      <c r="J12" s="212">
        <f>'Pt 2 Premium and Claims'!J$54</f>
        <v>345876045</v>
      </c>
      <c r="K12" s="213">
        <f>'Pt 2 Premium and Claims'!K$54</f>
        <v>402598661.70000005</v>
      </c>
      <c r="L12" s="213">
        <f>'Pt 2 Premium and Claims'!L$54</f>
        <v>65584095.299999997</v>
      </c>
      <c r="M12" s="213">
        <f>'Pt 2 Premium and Claims'!M$54</f>
        <v>0</v>
      </c>
      <c r="N12" s="213">
        <f>'Pt 2 Premium and Claims'!N$54</f>
        <v>0</v>
      </c>
      <c r="O12" s="212">
        <f>'Pt 2 Premium and Claims'!O$54</f>
        <v>0</v>
      </c>
      <c r="P12" s="212">
        <f>'Pt 2 Premium and Claims'!P$54</f>
        <v>114080126</v>
      </c>
      <c r="Q12" s="213">
        <f>'Pt 2 Premium and Claims'!Q$54</f>
        <v>137364164.10000002</v>
      </c>
      <c r="R12" s="213">
        <f>'Pt 2 Premium and Claims'!R$54</f>
        <v>13847403.01</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2817435</v>
      </c>
      <c r="AU12" s="214">
        <f>'Pt 2 Premium and Claims'!AU$54</f>
        <v>319919501</v>
      </c>
      <c r="AV12" s="291"/>
      <c r="AW12" s="296"/>
    </row>
    <row r="13" spans="1:49" ht="25.5" x14ac:dyDescent="0.2">
      <c r="B13" s="239" t="s">
        <v>230</v>
      </c>
      <c r="C13" s="203" t="s">
        <v>37</v>
      </c>
      <c r="D13" s="216">
        <v>217942721</v>
      </c>
      <c r="E13" s="217">
        <v>240895455.33000001</v>
      </c>
      <c r="F13" s="217">
        <v>0</v>
      </c>
      <c r="G13" s="268"/>
      <c r="H13" s="269"/>
      <c r="I13" s="216">
        <v>239894680</v>
      </c>
      <c r="J13" s="216">
        <v>87387810</v>
      </c>
      <c r="K13" s="217">
        <v>85909984.629999995</v>
      </c>
      <c r="L13" s="217"/>
      <c r="M13" s="268"/>
      <c r="N13" s="269"/>
      <c r="O13" s="216"/>
      <c r="P13" s="216">
        <v>25456873</v>
      </c>
      <c r="Q13" s="217">
        <v>27219243.25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43484242</v>
      </c>
      <c r="AV13" s="290"/>
      <c r="AW13" s="297"/>
    </row>
    <row r="14" spans="1:49" ht="25.5" x14ac:dyDescent="0.2">
      <c r="B14" s="239" t="s">
        <v>231</v>
      </c>
      <c r="C14" s="203" t="s">
        <v>6</v>
      </c>
      <c r="D14" s="216">
        <v>23572459</v>
      </c>
      <c r="E14" s="217">
        <v>22678084.210000001</v>
      </c>
      <c r="F14" s="217"/>
      <c r="G14" s="267"/>
      <c r="H14" s="270"/>
      <c r="I14" s="216">
        <v>22556583</v>
      </c>
      <c r="J14" s="216">
        <v>13209261</v>
      </c>
      <c r="K14" s="217">
        <v>13247403.09</v>
      </c>
      <c r="L14" s="217"/>
      <c r="M14" s="267"/>
      <c r="N14" s="270"/>
      <c r="O14" s="216"/>
      <c r="P14" s="216">
        <v>3735599</v>
      </c>
      <c r="Q14" s="217">
        <v>3903477.15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16493663</v>
      </c>
      <c r="AV14" s="290"/>
      <c r="AW14" s="297"/>
    </row>
    <row r="15" spans="1:49" ht="38.25" x14ac:dyDescent="0.2">
      <c r="B15" s="239" t="s">
        <v>232</v>
      </c>
      <c r="C15" s="203" t="s">
        <v>7</v>
      </c>
      <c r="D15" s="216">
        <v>14522</v>
      </c>
      <c r="E15" s="217">
        <v>15991.4</v>
      </c>
      <c r="F15" s="217">
        <v>1469.27</v>
      </c>
      <c r="G15" s="267"/>
      <c r="H15" s="273"/>
      <c r="I15" s="216">
        <v>15846</v>
      </c>
      <c r="J15" s="216">
        <v>5049</v>
      </c>
      <c r="K15" s="217">
        <v>7518.47</v>
      </c>
      <c r="L15" s="217">
        <v>2592.7800000000002</v>
      </c>
      <c r="M15" s="267"/>
      <c r="N15" s="273"/>
      <c r="O15" s="216"/>
      <c r="P15" s="216">
        <v>1586</v>
      </c>
      <c r="Q15" s="217">
        <v>2229.5300000000002</v>
      </c>
      <c r="R15" s="217">
        <v>520.70000000000005</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99</v>
      </c>
      <c r="AU15" s="220">
        <v>3978</v>
      </c>
      <c r="AV15" s="290"/>
      <c r="AW15" s="297"/>
    </row>
    <row r="16" spans="1:49" ht="25.5" x14ac:dyDescent="0.2">
      <c r="B16" s="239" t="s">
        <v>233</v>
      </c>
      <c r="C16" s="203" t="s">
        <v>61</v>
      </c>
      <c r="D16" s="216">
        <v>-219756747</v>
      </c>
      <c r="E16" s="268"/>
      <c r="F16" s="269"/>
      <c r="G16" s="270"/>
      <c r="H16" s="270"/>
      <c r="I16" s="272"/>
      <c r="J16" s="216">
        <v>-112542</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149174000</v>
      </c>
      <c r="E17" s="267"/>
      <c r="F17" s="270"/>
      <c r="G17" s="270"/>
      <c r="H17" s="270"/>
      <c r="I17" s="271"/>
      <c r="J17" s="216">
        <v>2754556</v>
      </c>
      <c r="K17" s="267"/>
      <c r="L17" s="270"/>
      <c r="M17" s="270"/>
      <c r="N17" s="270"/>
      <c r="O17" s="271"/>
      <c r="P17" s="216">
        <v>-4808000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4134000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2754556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1755033.96</v>
      </c>
      <c r="E22" s="222">
        <f>'Pt 2 Premium and Claims'!E$55</f>
        <v>1839999.44</v>
      </c>
      <c r="F22" s="222">
        <f>'Pt 2 Premium and Claims'!F$55</f>
        <v>17881.82</v>
      </c>
      <c r="G22" s="222">
        <f>'Pt 2 Premium and Claims'!G$55</f>
        <v>0</v>
      </c>
      <c r="H22" s="222">
        <f>'Pt 2 Premium and Claims'!H$55</f>
        <v>0</v>
      </c>
      <c r="I22" s="221">
        <f>'Pt 2 Premium and Claims'!I$55</f>
        <v>1822006</v>
      </c>
      <c r="J22" s="221">
        <f>'Pt 2 Premium and Claims'!J$55</f>
        <v>607404.16</v>
      </c>
      <c r="K22" s="222">
        <f>'Pt 2 Premium and Claims'!K$55</f>
        <v>706315.49</v>
      </c>
      <c r="L22" s="222">
        <f>'Pt 2 Premium and Claims'!L$55</f>
        <v>110377.21</v>
      </c>
      <c r="M22" s="222">
        <f>'Pt 2 Premium and Claims'!M$55</f>
        <v>0</v>
      </c>
      <c r="N22" s="222">
        <f>'Pt 2 Premium and Claims'!N$55</f>
        <v>0</v>
      </c>
      <c r="O22" s="221">
        <f>'Pt 2 Premium and Claims'!O$55</f>
        <v>0</v>
      </c>
      <c r="P22" s="221">
        <f>'Pt 2 Premium and Claims'!P$55</f>
        <v>202308.18</v>
      </c>
      <c r="Q22" s="222">
        <f>'Pt 2 Premium and Claims'!Q$55</f>
        <v>241755.23</v>
      </c>
      <c r="R22" s="222">
        <f>'Pt 2 Premium and Claims'!R$55</f>
        <v>23973.85</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-21215398.719999999</v>
      </c>
      <c r="E25" s="217">
        <v>-25341451</v>
      </c>
      <c r="F25" s="217">
        <v>-4126050.94</v>
      </c>
      <c r="G25" s="217"/>
      <c r="H25" s="217"/>
      <c r="I25" s="216">
        <v>-81448610</v>
      </c>
      <c r="J25" s="216">
        <v>4311607.3</v>
      </c>
      <c r="K25" s="217">
        <v>9427746.0500000007</v>
      </c>
      <c r="L25" s="217">
        <v>4938183.45</v>
      </c>
      <c r="M25" s="217"/>
      <c r="N25" s="217"/>
      <c r="O25" s="216"/>
      <c r="P25" s="216">
        <v>3825064.26</v>
      </c>
      <c r="Q25" s="217">
        <v>1762155.26</v>
      </c>
      <c r="R25" s="217">
        <v>-1884936.57</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248225.56</v>
      </c>
      <c r="AU25" s="220">
        <v>-1848272.26</v>
      </c>
      <c r="AV25" s="220"/>
      <c r="AW25" s="297"/>
    </row>
    <row r="26" spans="1:49" s="5" customFormat="1" x14ac:dyDescent="0.2">
      <c r="A26" s="35"/>
      <c r="B26" s="242" t="s">
        <v>242</v>
      </c>
      <c r="C26" s="203"/>
      <c r="D26" s="216">
        <v>530248.41</v>
      </c>
      <c r="E26" s="217">
        <v>539251.41</v>
      </c>
      <c r="F26" s="217">
        <v>9003</v>
      </c>
      <c r="G26" s="217"/>
      <c r="H26" s="217"/>
      <c r="I26" s="216">
        <v>510836</v>
      </c>
      <c r="J26" s="216">
        <v>202468.61</v>
      </c>
      <c r="K26" s="217">
        <v>235705.73</v>
      </c>
      <c r="L26" s="217">
        <v>39268.1</v>
      </c>
      <c r="M26" s="217"/>
      <c r="N26" s="217"/>
      <c r="O26" s="216"/>
      <c r="P26" s="216">
        <v>72363.070000000007</v>
      </c>
      <c r="Q26" s="217">
        <v>87650.44</v>
      </c>
      <c r="R26" s="217">
        <v>9256.39</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21549400.100000001</v>
      </c>
      <c r="E27" s="217">
        <v>22342984.449999999</v>
      </c>
      <c r="F27" s="217">
        <v>793584.35</v>
      </c>
      <c r="G27" s="217"/>
      <c r="H27" s="217"/>
      <c r="I27" s="216">
        <v>22200878</v>
      </c>
      <c r="J27" s="216">
        <v>7498939.4299999997</v>
      </c>
      <c r="K27" s="217">
        <v>8716787.1099999994</v>
      </c>
      <c r="L27" s="217">
        <v>1400370.65</v>
      </c>
      <c r="M27" s="217"/>
      <c r="N27" s="217"/>
      <c r="O27" s="216"/>
      <c r="P27" s="216">
        <v>2296672.7799999998</v>
      </c>
      <c r="Q27" s="217">
        <v>2749621.86</v>
      </c>
      <c r="R27" s="217">
        <v>270426.11</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141673.57999999999</v>
      </c>
      <c r="AU27" s="220">
        <v>5905827.3499999996</v>
      </c>
      <c r="AV27" s="293"/>
      <c r="AW27" s="297"/>
    </row>
    <row r="28" spans="1:49" s="5" customFormat="1" x14ac:dyDescent="0.2">
      <c r="A28" s="35"/>
      <c r="B28" s="242" t="s">
        <v>244</v>
      </c>
      <c r="C28" s="203"/>
      <c r="D28" s="216">
        <v>2631865.21</v>
      </c>
      <c r="E28" s="217">
        <v>2754918.23</v>
      </c>
      <c r="F28" s="217">
        <v>123053.02</v>
      </c>
      <c r="G28" s="217"/>
      <c r="H28" s="217"/>
      <c r="I28" s="216">
        <v>2717728</v>
      </c>
      <c r="J28" s="216">
        <v>707442.54</v>
      </c>
      <c r="K28" s="217">
        <v>817633.87</v>
      </c>
      <c r="L28" s="217">
        <v>128281.81</v>
      </c>
      <c r="M28" s="217"/>
      <c r="N28" s="217"/>
      <c r="O28" s="216"/>
      <c r="P28" s="216">
        <v>240529.95</v>
      </c>
      <c r="Q28" s="217">
        <v>286175.17</v>
      </c>
      <c r="R28" s="217">
        <v>27554.74</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97250.77</v>
      </c>
      <c r="AU28" s="220">
        <v>630964.77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-1076742.8500000001</v>
      </c>
      <c r="E30" s="217">
        <v>-1385301.94</v>
      </c>
      <c r="F30" s="217">
        <v>-308559</v>
      </c>
      <c r="G30" s="217"/>
      <c r="H30" s="217"/>
      <c r="I30" s="216">
        <v>-5116607</v>
      </c>
      <c r="J30" s="216">
        <v>376900.27</v>
      </c>
      <c r="K30" s="217">
        <v>787784.32</v>
      </c>
      <c r="L30" s="217">
        <v>401383.03</v>
      </c>
      <c r="M30" s="217"/>
      <c r="N30" s="217"/>
      <c r="O30" s="216"/>
      <c r="P30" s="216">
        <v>284050.59999999998</v>
      </c>
      <c r="Q30" s="217">
        <v>130259.89</v>
      </c>
      <c r="R30" s="217">
        <v>-144288.56</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27635.67</v>
      </c>
      <c r="AU30" s="220">
        <v>-44054.27</v>
      </c>
      <c r="AV30" s="220"/>
      <c r="AW30" s="297"/>
    </row>
    <row r="31" spans="1:49" x14ac:dyDescent="0.2">
      <c r="B31" s="242" t="s">
        <v>247</v>
      </c>
      <c r="C31" s="203"/>
      <c r="D31" s="216">
        <v>4271546.9000000004</v>
      </c>
      <c r="E31" s="217">
        <v>5194251.95</v>
      </c>
      <c r="F31" s="217">
        <v>922705.05</v>
      </c>
      <c r="G31" s="217"/>
      <c r="H31" s="217"/>
      <c r="I31" s="216">
        <v>5123362</v>
      </c>
      <c r="J31" s="216">
        <v>1688204.59</v>
      </c>
      <c r="K31" s="217">
        <v>3232507.65</v>
      </c>
      <c r="L31" s="217">
        <v>1585433.86</v>
      </c>
      <c r="M31" s="217"/>
      <c r="N31" s="217"/>
      <c r="O31" s="216"/>
      <c r="P31" s="216">
        <v>461973.66</v>
      </c>
      <c r="Q31" s="217">
        <v>820915.51</v>
      </c>
      <c r="R31" s="217">
        <v>317811.06</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32031.33</v>
      </c>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3234827.71</v>
      </c>
      <c r="E34" s="217">
        <v>12397547.73</v>
      </c>
      <c r="F34" s="217">
        <v>0</v>
      </c>
      <c r="G34" s="217"/>
      <c r="H34" s="217"/>
      <c r="I34" s="216">
        <v>12228066</v>
      </c>
      <c r="J34" s="216">
        <v>4781676.08</v>
      </c>
      <c r="K34" s="217">
        <v>4656593.37</v>
      </c>
      <c r="L34" s="217"/>
      <c r="M34" s="217"/>
      <c r="N34" s="217"/>
      <c r="O34" s="216"/>
      <c r="P34" s="216">
        <v>1408874.5</v>
      </c>
      <c r="Q34" s="217">
        <v>1533957.21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32079789.850000001</v>
      </c>
      <c r="E35" s="217">
        <v>32132210.620000001</v>
      </c>
      <c r="F35" s="217">
        <v>52420.77</v>
      </c>
      <c r="G35" s="217"/>
      <c r="H35" s="217"/>
      <c r="I35" s="216">
        <v>32120787</v>
      </c>
      <c r="J35" s="216">
        <v>260255.54</v>
      </c>
      <c r="K35" s="217">
        <v>303985.27</v>
      </c>
      <c r="L35" s="217">
        <v>49423.61</v>
      </c>
      <c r="M35" s="217"/>
      <c r="N35" s="217"/>
      <c r="O35" s="216"/>
      <c r="P35" s="216">
        <v>74470.37</v>
      </c>
      <c r="Q35" s="217">
        <v>89113.17</v>
      </c>
      <c r="R35" s="217">
        <v>8948.92</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29654.1</v>
      </c>
      <c r="AU35" s="220">
        <v>194871.27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3389393</v>
      </c>
      <c r="E37" s="225">
        <v>3437694.46</v>
      </c>
      <c r="F37" s="225">
        <v>48301.67</v>
      </c>
      <c r="G37" s="225"/>
      <c r="H37" s="225"/>
      <c r="I37" s="224">
        <v>3392902</v>
      </c>
      <c r="J37" s="224">
        <v>1309170</v>
      </c>
      <c r="K37" s="225">
        <v>1356211.48</v>
      </c>
      <c r="L37" s="225">
        <v>83729.509999999995</v>
      </c>
      <c r="M37" s="225"/>
      <c r="N37" s="225"/>
      <c r="O37" s="224"/>
      <c r="P37" s="224">
        <v>569803</v>
      </c>
      <c r="Q37" s="225">
        <v>650788.18000000005</v>
      </c>
      <c r="R37" s="225">
        <v>44297.64</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2427190</v>
      </c>
      <c r="AV37" s="226">
        <v>0</v>
      </c>
      <c r="AW37" s="296"/>
    </row>
    <row r="38" spans="1:49" x14ac:dyDescent="0.2">
      <c r="B38" s="239" t="s">
        <v>254</v>
      </c>
      <c r="C38" s="203" t="s">
        <v>16</v>
      </c>
      <c r="D38" s="216">
        <v>397815</v>
      </c>
      <c r="E38" s="217">
        <v>405805.1</v>
      </c>
      <c r="F38" s="217">
        <v>7990.04</v>
      </c>
      <c r="G38" s="217"/>
      <c r="H38" s="217"/>
      <c r="I38" s="216">
        <v>398221</v>
      </c>
      <c r="J38" s="216">
        <v>393352</v>
      </c>
      <c r="K38" s="217">
        <v>394292.25</v>
      </c>
      <c r="L38" s="217">
        <v>11542.16</v>
      </c>
      <c r="M38" s="217"/>
      <c r="N38" s="217"/>
      <c r="O38" s="216"/>
      <c r="P38" s="216">
        <v>191187</v>
      </c>
      <c r="Q38" s="217">
        <v>234920.24</v>
      </c>
      <c r="R38" s="217">
        <v>33131.949999999997</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928699</v>
      </c>
      <c r="AV38" s="220">
        <v>0</v>
      </c>
      <c r="AW38" s="297"/>
    </row>
    <row r="39" spans="1:49" x14ac:dyDescent="0.2">
      <c r="B39" s="242" t="s">
        <v>255</v>
      </c>
      <c r="C39" s="203" t="s">
        <v>17</v>
      </c>
      <c r="D39" s="216">
        <v>1527427</v>
      </c>
      <c r="E39" s="217">
        <v>1539093.69</v>
      </c>
      <c r="F39" s="217">
        <v>11667.16</v>
      </c>
      <c r="G39" s="217"/>
      <c r="H39" s="217"/>
      <c r="I39" s="216">
        <v>1523869</v>
      </c>
      <c r="J39" s="216">
        <v>582060</v>
      </c>
      <c r="K39" s="217">
        <v>585799.68000000005</v>
      </c>
      <c r="L39" s="217">
        <v>18083.88</v>
      </c>
      <c r="M39" s="217"/>
      <c r="N39" s="217"/>
      <c r="O39" s="216"/>
      <c r="P39" s="216">
        <v>179341</v>
      </c>
      <c r="Q39" s="217">
        <v>202330.15</v>
      </c>
      <c r="R39" s="217">
        <v>8645.67</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555543</v>
      </c>
      <c r="AV39" s="220">
        <v>0</v>
      </c>
      <c r="AW39" s="297"/>
    </row>
    <row r="40" spans="1:49" x14ac:dyDescent="0.2">
      <c r="B40" s="242" t="s">
        <v>256</v>
      </c>
      <c r="C40" s="203" t="s">
        <v>38</v>
      </c>
      <c r="D40" s="216">
        <v>6290716</v>
      </c>
      <c r="E40" s="217">
        <v>6296865.1100000003</v>
      </c>
      <c r="F40" s="217">
        <v>6149.41</v>
      </c>
      <c r="G40" s="217"/>
      <c r="H40" s="217"/>
      <c r="I40" s="216">
        <v>6251155</v>
      </c>
      <c r="J40" s="216">
        <v>4658792</v>
      </c>
      <c r="K40" s="217">
        <v>4616982.74</v>
      </c>
      <c r="L40" s="217">
        <v>78060.740000000005</v>
      </c>
      <c r="M40" s="217"/>
      <c r="N40" s="217"/>
      <c r="O40" s="216"/>
      <c r="P40" s="216">
        <v>1437195</v>
      </c>
      <c r="Q40" s="217">
        <v>1594225.67</v>
      </c>
      <c r="R40" s="217">
        <v>37160.32</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2444</v>
      </c>
      <c r="AU40" s="220">
        <v>2638487</v>
      </c>
      <c r="AV40" s="220">
        <v>0</v>
      </c>
      <c r="AW40" s="297"/>
    </row>
    <row r="41" spans="1:49" s="5" customFormat="1" ht="25.5" x14ac:dyDescent="0.2">
      <c r="A41" s="35"/>
      <c r="B41" s="242" t="s">
        <v>257</v>
      </c>
      <c r="C41" s="203" t="s">
        <v>129</v>
      </c>
      <c r="D41" s="216">
        <v>1374860</v>
      </c>
      <c r="E41" s="217">
        <v>1443374.28</v>
      </c>
      <c r="F41" s="217">
        <v>68514.44</v>
      </c>
      <c r="G41" s="217"/>
      <c r="H41" s="217"/>
      <c r="I41" s="216">
        <v>1415867</v>
      </c>
      <c r="J41" s="216">
        <v>614484</v>
      </c>
      <c r="K41" s="217">
        <v>714795.37</v>
      </c>
      <c r="L41" s="217">
        <v>115756.78</v>
      </c>
      <c r="M41" s="217"/>
      <c r="N41" s="217"/>
      <c r="O41" s="216"/>
      <c r="P41" s="216">
        <v>190802</v>
      </c>
      <c r="Q41" s="217">
        <v>230067.18</v>
      </c>
      <c r="R41" s="217">
        <v>23820.48</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24326</v>
      </c>
      <c r="AU41" s="220">
        <v>488518</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13376308</v>
      </c>
      <c r="E44" s="225">
        <v>13771897.380000001</v>
      </c>
      <c r="F44" s="225">
        <v>395589.26</v>
      </c>
      <c r="G44" s="225"/>
      <c r="H44" s="225"/>
      <c r="I44" s="224">
        <v>13801613</v>
      </c>
      <c r="J44" s="224">
        <v>5055651</v>
      </c>
      <c r="K44" s="225">
        <v>5410413.71</v>
      </c>
      <c r="L44" s="225">
        <v>485043.84</v>
      </c>
      <c r="M44" s="225"/>
      <c r="N44" s="225"/>
      <c r="O44" s="224"/>
      <c r="P44" s="224">
        <v>1616558</v>
      </c>
      <c r="Q44" s="225">
        <v>1855306.22</v>
      </c>
      <c r="R44" s="225">
        <v>108467.48</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74880</v>
      </c>
      <c r="AU44" s="226">
        <v>3838236</v>
      </c>
      <c r="AV44" s="226">
        <v>0</v>
      </c>
      <c r="AW44" s="296"/>
    </row>
    <row r="45" spans="1:49" x14ac:dyDescent="0.2">
      <c r="B45" s="245" t="s">
        <v>261</v>
      </c>
      <c r="C45" s="203" t="s">
        <v>19</v>
      </c>
      <c r="D45" s="216">
        <v>12769087</v>
      </c>
      <c r="E45" s="217">
        <v>13233840.51</v>
      </c>
      <c r="F45" s="217">
        <v>464753.54</v>
      </c>
      <c r="G45" s="217"/>
      <c r="H45" s="217"/>
      <c r="I45" s="216">
        <v>13150819</v>
      </c>
      <c r="J45" s="216">
        <v>2897875</v>
      </c>
      <c r="K45" s="217">
        <v>3157755.12</v>
      </c>
      <c r="L45" s="217">
        <v>331538.24</v>
      </c>
      <c r="M45" s="217"/>
      <c r="N45" s="217"/>
      <c r="O45" s="216"/>
      <c r="P45" s="216">
        <v>901070</v>
      </c>
      <c r="Q45" s="217">
        <v>1039536.14</v>
      </c>
      <c r="R45" s="217">
        <v>66808.149999999994</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134136</v>
      </c>
      <c r="AU45" s="220">
        <v>2763927</v>
      </c>
      <c r="AV45" s="220">
        <v>0</v>
      </c>
      <c r="AW45" s="297"/>
    </row>
    <row r="46" spans="1:49" x14ac:dyDescent="0.2">
      <c r="B46" s="245" t="s">
        <v>262</v>
      </c>
      <c r="C46" s="203" t="s">
        <v>20</v>
      </c>
      <c r="D46" s="216">
        <v>4902639</v>
      </c>
      <c r="E46" s="217">
        <v>5130735.3899999997</v>
      </c>
      <c r="F46" s="217">
        <v>228096.68</v>
      </c>
      <c r="G46" s="217"/>
      <c r="H46" s="217"/>
      <c r="I46" s="216">
        <v>5116437</v>
      </c>
      <c r="J46" s="216">
        <v>1522434</v>
      </c>
      <c r="K46" s="217">
        <v>1771644.9</v>
      </c>
      <c r="L46" s="217">
        <v>287894.12</v>
      </c>
      <c r="M46" s="217"/>
      <c r="N46" s="217"/>
      <c r="O46" s="216"/>
      <c r="P46" s="216">
        <v>491686</v>
      </c>
      <c r="Q46" s="217">
        <v>590198.87</v>
      </c>
      <c r="R46" s="217">
        <v>59828.93</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433411</v>
      </c>
      <c r="AU46" s="220">
        <v>3085539</v>
      </c>
      <c r="AV46" s="220">
        <v>0</v>
      </c>
      <c r="AW46" s="297"/>
    </row>
    <row r="47" spans="1:49" x14ac:dyDescent="0.2">
      <c r="B47" s="245" t="s">
        <v>263</v>
      </c>
      <c r="C47" s="203" t="s">
        <v>21</v>
      </c>
      <c r="D47" s="216">
        <v>43221184</v>
      </c>
      <c r="E47" s="217">
        <v>43266966.140000001</v>
      </c>
      <c r="F47" s="217">
        <v>45782.3</v>
      </c>
      <c r="G47" s="217"/>
      <c r="H47" s="217"/>
      <c r="I47" s="216">
        <v>42040086</v>
      </c>
      <c r="J47" s="216">
        <v>26916668</v>
      </c>
      <c r="K47" s="217">
        <v>26321809.149999999</v>
      </c>
      <c r="L47" s="217">
        <v>47727.66</v>
      </c>
      <c r="M47" s="217"/>
      <c r="N47" s="217"/>
      <c r="O47" s="216"/>
      <c r="P47" s="216">
        <v>6364386</v>
      </c>
      <c r="Q47" s="217">
        <v>7017224.7000000002</v>
      </c>
      <c r="R47" s="217">
        <v>10251.75</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1161631</v>
      </c>
      <c r="AU47" s="220">
        <v>6496695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307075.98</v>
      </c>
      <c r="E49" s="217">
        <v>189539.32</v>
      </c>
      <c r="F49" s="217">
        <v>-117536.66</v>
      </c>
      <c r="G49" s="217"/>
      <c r="H49" s="217"/>
      <c r="I49" s="216">
        <v>154752</v>
      </c>
      <c r="J49" s="216">
        <v>-62634.02</v>
      </c>
      <c r="K49" s="217">
        <v>82483.83</v>
      </c>
      <c r="L49" s="217">
        <v>145298.68</v>
      </c>
      <c r="M49" s="217"/>
      <c r="N49" s="217"/>
      <c r="O49" s="216"/>
      <c r="P49" s="216">
        <v>-49191.46</v>
      </c>
      <c r="Q49" s="217">
        <v>-106445.05</v>
      </c>
      <c r="R49" s="217">
        <v>-57434.42</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-3135.24</v>
      </c>
      <c r="AU49" s="220">
        <v>30565.02</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15174.89</v>
      </c>
      <c r="AV50" s="220"/>
      <c r="AW50" s="297"/>
    </row>
    <row r="51" spans="2:49" x14ac:dyDescent="0.2">
      <c r="B51" s="239" t="s">
        <v>266</v>
      </c>
      <c r="C51" s="203"/>
      <c r="D51" s="216">
        <v>77118868</v>
      </c>
      <c r="E51" s="217">
        <v>80724305.510000005</v>
      </c>
      <c r="F51" s="217">
        <v>3605437.72</v>
      </c>
      <c r="G51" s="217"/>
      <c r="H51" s="217"/>
      <c r="I51" s="216">
        <v>79616502</v>
      </c>
      <c r="J51" s="216">
        <v>22135677</v>
      </c>
      <c r="K51" s="217">
        <v>25599187.370000001</v>
      </c>
      <c r="L51" s="217">
        <v>3991330</v>
      </c>
      <c r="M51" s="217"/>
      <c r="N51" s="217"/>
      <c r="O51" s="216"/>
      <c r="P51" s="216">
        <v>5492292</v>
      </c>
      <c r="Q51" s="217">
        <v>6839493.2599999998</v>
      </c>
      <c r="R51" s="217">
        <v>819381.6</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2584825</v>
      </c>
      <c r="AU51" s="220">
        <v>16780046</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168016</v>
      </c>
      <c r="E56" s="229">
        <v>168016</v>
      </c>
      <c r="F56" s="229">
        <v>0</v>
      </c>
      <c r="G56" s="229"/>
      <c r="H56" s="229"/>
      <c r="I56" s="228">
        <v>166319</v>
      </c>
      <c r="J56" s="228">
        <v>70076</v>
      </c>
      <c r="K56" s="229">
        <v>69740</v>
      </c>
      <c r="L56" s="229">
        <v>0</v>
      </c>
      <c r="M56" s="229"/>
      <c r="N56" s="229"/>
      <c r="O56" s="228"/>
      <c r="P56" s="228">
        <v>20686</v>
      </c>
      <c r="Q56" s="229">
        <v>20686</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31971</v>
      </c>
      <c r="AU56" s="230">
        <v>39823</v>
      </c>
      <c r="AV56" s="230">
        <v>0</v>
      </c>
      <c r="AW56" s="288"/>
    </row>
    <row r="57" spans="2:49" x14ac:dyDescent="0.2">
      <c r="B57" s="245" t="s">
        <v>272</v>
      </c>
      <c r="C57" s="203" t="s">
        <v>25</v>
      </c>
      <c r="D57" s="231">
        <v>250741</v>
      </c>
      <c r="E57" s="232">
        <v>250833</v>
      </c>
      <c r="F57" s="232">
        <v>12366</v>
      </c>
      <c r="G57" s="232"/>
      <c r="H57" s="232"/>
      <c r="I57" s="231">
        <v>247368</v>
      </c>
      <c r="J57" s="231">
        <v>119005</v>
      </c>
      <c r="K57" s="232">
        <v>116508</v>
      </c>
      <c r="L57" s="232">
        <v>18814</v>
      </c>
      <c r="M57" s="232"/>
      <c r="N57" s="232"/>
      <c r="O57" s="231"/>
      <c r="P57" s="231">
        <v>35170</v>
      </c>
      <c r="Q57" s="232">
        <v>37667</v>
      </c>
      <c r="R57" s="232">
        <v>4144</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50460</v>
      </c>
      <c r="AU57" s="233">
        <v>40159</v>
      </c>
      <c r="AV57" s="233">
        <v>0</v>
      </c>
      <c r="AW57" s="289"/>
    </row>
    <row r="58" spans="2:49" x14ac:dyDescent="0.2">
      <c r="B58" s="245" t="s">
        <v>273</v>
      </c>
      <c r="C58" s="203" t="s">
        <v>26</v>
      </c>
      <c r="D58" s="309"/>
      <c r="E58" s="310"/>
      <c r="F58" s="310"/>
      <c r="G58" s="310"/>
      <c r="H58" s="310"/>
      <c r="I58" s="309"/>
      <c r="J58" s="231">
        <v>6699</v>
      </c>
      <c r="K58" s="232">
        <v>6699</v>
      </c>
      <c r="L58" s="232"/>
      <c r="M58" s="232"/>
      <c r="N58" s="232"/>
      <c r="O58" s="231"/>
      <c r="P58" s="231">
        <v>170</v>
      </c>
      <c r="Q58" s="232">
        <v>170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178</v>
      </c>
      <c r="AU58" s="233">
        <v>1</v>
      </c>
      <c r="AV58" s="233">
        <v>0</v>
      </c>
      <c r="AW58" s="289"/>
    </row>
    <row r="59" spans="2:49" x14ac:dyDescent="0.2">
      <c r="B59" s="245" t="s">
        <v>274</v>
      </c>
      <c r="C59" s="203" t="s">
        <v>27</v>
      </c>
      <c r="D59" s="231">
        <v>3428633</v>
      </c>
      <c r="E59" s="232">
        <v>3442073</v>
      </c>
      <c r="F59" s="232">
        <v>161763</v>
      </c>
      <c r="G59" s="232"/>
      <c r="H59" s="232"/>
      <c r="I59" s="231">
        <v>3398153</v>
      </c>
      <c r="J59" s="231">
        <v>1337225</v>
      </c>
      <c r="K59" s="232">
        <v>1307376</v>
      </c>
      <c r="L59" s="232">
        <v>213185</v>
      </c>
      <c r="M59" s="232"/>
      <c r="N59" s="232"/>
      <c r="O59" s="231"/>
      <c r="P59" s="231">
        <v>392078</v>
      </c>
      <c r="Q59" s="232">
        <v>421705</v>
      </c>
      <c r="R59" s="232">
        <v>43864</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594302</v>
      </c>
      <c r="AU59" s="233">
        <v>467274</v>
      </c>
      <c r="AV59" s="233">
        <v>0</v>
      </c>
      <c r="AW59" s="289"/>
    </row>
    <row r="60" spans="2:49" x14ac:dyDescent="0.2">
      <c r="B60" s="245" t="s">
        <v>275</v>
      </c>
      <c r="C60" s="203"/>
      <c r="D60" s="234">
        <f t="shared" ref="D60:AC60" si="0">D$59/12</f>
        <v>285719.41666666669</v>
      </c>
      <c r="E60" s="235">
        <f t="shared" si="0"/>
        <v>286839.41666666669</v>
      </c>
      <c r="F60" s="235">
        <f t="shared" si="0"/>
        <v>13480.25</v>
      </c>
      <c r="G60" s="235">
        <f t="shared" si="0"/>
        <v>0</v>
      </c>
      <c r="H60" s="235">
        <f t="shared" si="0"/>
        <v>0</v>
      </c>
      <c r="I60" s="234">
        <f t="shared" si="0"/>
        <v>283179.41666666669</v>
      </c>
      <c r="J60" s="234">
        <f t="shared" si="0"/>
        <v>111435.41666666667</v>
      </c>
      <c r="K60" s="235">
        <f t="shared" si="0"/>
        <v>108948</v>
      </c>
      <c r="L60" s="235">
        <f t="shared" si="0"/>
        <v>17765.416666666668</v>
      </c>
      <c r="M60" s="235">
        <f t="shared" si="0"/>
        <v>0</v>
      </c>
      <c r="N60" s="235">
        <f t="shared" si="0"/>
        <v>0</v>
      </c>
      <c r="O60" s="234">
        <f t="shared" si="0"/>
        <v>0</v>
      </c>
      <c r="P60" s="234">
        <f t="shared" si="0"/>
        <v>32673.166666666668</v>
      </c>
      <c r="Q60" s="235">
        <f t="shared" si="0"/>
        <v>35142.083333333336</v>
      </c>
      <c r="R60" s="235">
        <f t="shared" si="0"/>
        <v>3655.3333333333335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49525.166666666664</v>
      </c>
      <c r="AU60" s="236">
        <f t="shared" si="1"/>
        <v>38939.5</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1162715069</v>
      </c>
      <c r="E5" s="326">
        <v>1157687889.95</v>
      </c>
      <c r="F5" s="326">
        <v>48895434.020000003</v>
      </c>
      <c r="G5" s="328"/>
      <c r="H5" s="328"/>
      <c r="I5" s="325">
        <v>1149316844</v>
      </c>
      <c r="J5" s="325">
        <v>440006951</v>
      </c>
      <c r="K5" s="326">
        <v>516518316.37</v>
      </c>
      <c r="L5" s="326">
        <v>84108838.969999999</v>
      </c>
      <c r="M5" s="326"/>
      <c r="N5" s="326"/>
      <c r="O5" s="325"/>
      <c r="P5" s="325">
        <v>140753099</v>
      </c>
      <c r="Q5" s="326">
        <v>165986953.53999999</v>
      </c>
      <c r="R5" s="326">
        <v>16845896.949999999</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8196910</v>
      </c>
      <c r="AU5" s="327">
        <v>354361407</v>
      </c>
      <c r="AV5" s="369"/>
      <c r="AW5" s="373"/>
    </row>
    <row r="6" spans="2:49" x14ac:dyDescent="0.2">
      <c r="B6" s="343" t="s">
        <v>278</v>
      </c>
      <c r="C6" s="331" t="s">
        <v>8</v>
      </c>
      <c r="D6" s="318">
        <v>66250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289578</v>
      </c>
      <c r="AU6" s="321">
        <v>0</v>
      </c>
      <c r="AV6" s="368"/>
      <c r="AW6" s="374"/>
    </row>
    <row r="7" spans="2:49" x14ac:dyDescent="0.2">
      <c r="B7" s="343" t="s">
        <v>279</v>
      </c>
      <c r="C7" s="331" t="s">
        <v>9</v>
      </c>
      <c r="D7" s="318">
        <v>88185</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264644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-9095291</v>
      </c>
      <c r="E9" s="362"/>
      <c r="F9" s="362"/>
      <c r="G9" s="362"/>
      <c r="H9" s="362"/>
      <c r="I9" s="364"/>
      <c r="J9" s="318">
        <v>0</v>
      </c>
      <c r="K9" s="362"/>
      <c r="L9" s="362"/>
      <c r="M9" s="362"/>
      <c r="N9" s="362"/>
      <c r="O9" s="364"/>
      <c r="P9" s="318">
        <v>106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-3289674</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0</v>
      </c>
      <c r="R10" s="319">
        <v>-105.98</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-195371401</v>
      </c>
      <c r="E11" s="319"/>
      <c r="F11" s="319"/>
      <c r="G11" s="319"/>
      <c r="H11" s="319"/>
      <c r="I11" s="318">
        <v>0</v>
      </c>
      <c r="J11" s="318">
        <v>0</v>
      </c>
      <c r="K11" s="319"/>
      <c r="L11" s="319"/>
      <c r="M11" s="319"/>
      <c r="N11" s="319"/>
      <c r="O11" s="318"/>
      <c r="P11" s="318">
        <v>0</v>
      </c>
      <c r="Q11" s="319">
        <v>0</v>
      </c>
      <c r="R11" s="319">
        <v>105.98</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1496130</v>
      </c>
      <c r="AV11" s="368"/>
      <c r="AW11" s="374"/>
    </row>
    <row r="12" spans="2:49" ht="15" customHeight="1" x14ac:dyDescent="0.2">
      <c r="B12" s="343" t="s">
        <v>282</v>
      </c>
      <c r="C12" s="331" t="s">
        <v>44</v>
      </c>
      <c r="D12" s="318">
        <v>-25944202</v>
      </c>
      <c r="E12" s="363"/>
      <c r="F12" s="363"/>
      <c r="G12" s="363"/>
      <c r="H12" s="363"/>
      <c r="I12" s="365"/>
      <c r="J12" s="318">
        <v>2754556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-3278222</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213455181.25999999</v>
      </c>
      <c r="F15" s="319"/>
      <c r="G15" s="319"/>
      <c r="H15" s="319"/>
      <c r="I15" s="318">
        <v>213455181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68541368.019999996</v>
      </c>
      <c r="F16" s="319"/>
      <c r="G16" s="319"/>
      <c r="H16" s="319"/>
      <c r="I16" s="318">
        <v>68541368</v>
      </c>
      <c r="J16" s="318"/>
      <c r="K16" s="319">
        <v>-3209903.85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628930225.20000005</v>
      </c>
      <c r="F20" s="319"/>
      <c r="G20" s="319"/>
      <c r="H20" s="319"/>
      <c r="I20" s="318">
        <v>628930225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1350583572</v>
      </c>
      <c r="E23" s="362"/>
      <c r="F23" s="362"/>
      <c r="G23" s="362"/>
      <c r="H23" s="362"/>
      <c r="I23" s="364"/>
      <c r="J23" s="318">
        <v>341674108</v>
      </c>
      <c r="K23" s="362"/>
      <c r="L23" s="362"/>
      <c r="M23" s="362"/>
      <c r="N23" s="362"/>
      <c r="O23" s="364"/>
      <c r="P23" s="318">
        <v>111528476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2835238</v>
      </c>
      <c r="AU23" s="321">
        <v>314206706</v>
      </c>
      <c r="AV23" s="368"/>
      <c r="AW23" s="374"/>
    </row>
    <row r="24" spans="2:49" ht="28.5" customHeight="1" x14ac:dyDescent="0.2">
      <c r="B24" s="345" t="s">
        <v>114</v>
      </c>
      <c r="C24" s="331"/>
      <c r="D24" s="365"/>
      <c r="E24" s="319">
        <v>1581019670.6400001</v>
      </c>
      <c r="F24" s="319">
        <v>61639083.649999999</v>
      </c>
      <c r="G24" s="319"/>
      <c r="H24" s="319"/>
      <c r="I24" s="318">
        <v>1571401409</v>
      </c>
      <c r="J24" s="365"/>
      <c r="K24" s="319">
        <v>409557664.61000001</v>
      </c>
      <c r="L24" s="319">
        <v>63618778.549999997</v>
      </c>
      <c r="M24" s="319"/>
      <c r="N24" s="319"/>
      <c r="O24" s="318"/>
      <c r="P24" s="365"/>
      <c r="Q24" s="319">
        <v>139734429.36000001</v>
      </c>
      <c r="R24" s="319">
        <v>15672497.65</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182332293</v>
      </c>
      <c r="E26" s="362"/>
      <c r="F26" s="362"/>
      <c r="G26" s="362"/>
      <c r="H26" s="362"/>
      <c r="I26" s="364"/>
      <c r="J26" s="318">
        <v>35536673</v>
      </c>
      <c r="K26" s="362"/>
      <c r="L26" s="362"/>
      <c r="M26" s="362"/>
      <c r="N26" s="362"/>
      <c r="O26" s="364"/>
      <c r="P26" s="318">
        <v>11939408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126477</v>
      </c>
      <c r="AU26" s="321">
        <v>36938756</v>
      </c>
      <c r="AV26" s="368"/>
      <c r="AW26" s="374"/>
    </row>
    <row r="27" spans="2:49" s="5" customFormat="1" ht="25.5" x14ac:dyDescent="0.2">
      <c r="B27" s="345" t="s">
        <v>85</v>
      </c>
      <c r="C27" s="331"/>
      <c r="D27" s="365"/>
      <c r="E27" s="319">
        <v>34751291.369999997</v>
      </c>
      <c r="F27" s="319">
        <v>3268537.72</v>
      </c>
      <c r="G27" s="319"/>
      <c r="H27" s="319"/>
      <c r="I27" s="318">
        <v>34665821</v>
      </c>
      <c r="J27" s="365"/>
      <c r="K27" s="319">
        <v>5938969.7400000002</v>
      </c>
      <c r="L27" s="319">
        <v>1629470.34</v>
      </c>
      <c r="M27" s="319"/>
      <c r="N27" s="319"/>
      <c r="O27" s="318"/>
      <c r="P27" s="365"/>
      <c r="Q27" s="319">
        <v>1731354.4</v>
      </c>
      <c r="R27" s="319">
        <v>387639.84</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108509632</v>
      </c>
      <c r="E28" s="363"/>
      <c r="F28" s="363"/>
      <c r="G28" s="363"/>
      <c r="H28" s="363"/>
      <c r="I28" s="365"/>
      <c r="J28" s="318">
        <v>26103313</v>
      </c>
      <c r="K28" s="363"/>
      <c r="L28" s="363"/>
      <c r="M28" s="363"/>
      <c r="N28" s="363"/>
      <c r="O28" s="365"/>
      <c r="P28" s="318">
        <v>9345822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144280</v>
      </c>
      <c r="AU28" s="321">
        <v>31101922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185358</v>
      </c>
      <c r="K30" s="362"/>
      <c r="L30" s="362"/>
      <c r="M30" s="362"/>
      <c r="N30" s="362"/>
      <c r="O30" s="364"/>
      <c r="P30" s="318">
        <v>1642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69919.48</v>
      </c>
      <c r="L31" s="319"/>
      <c r="M31" s="319"/>
      <c r="N31" s="319"/>
      <c r="O31" s="318"/>
      <c r="P31" s="365"/>
      <c r="Q31" s="319">
        <v>-8919.5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115439</v>
      </c>
      <c r="K32" s="363"/>
      <c r="L32" s="363"/>
      <c r="M32" s="363"/>
      <c r="N32" s="363"/>
      <c r="O32" s="365"/>
      <c r="P32" s="318">
        <v>10561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6036297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6036297.4299999997</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24367326</v>
      </c>
      <c r="E36" s="319">
        <v>24367325.829999998</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-9095291</v>
      </c>
      <c r="E38" s="362"/>
      <c r="F38" s="362"/>
      <c r="G38" s="362"/>
      <c r="H38" s="362"/>
      <c r="I38" s="364"/>
      <c r="J38" s="318">
        <v>0</v>
      </c>
      <c r="K38" s="362"/>
      <c r="L38" s="362"/>
      <c r="M38" s="362"/>
      <c r="N38" s="362"/>
      <c r="O38" s="364"/>
      <c r="P38" s="318">
        <v>106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-3289674</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0</v>
      </c>
      <c r="R39" s="319">
        <v>-105.98</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-195371401</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1496130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v>105.98</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-25944202</v>
      </c>
      <c r="E43" s="363"/>
      <c r="F43" s="363"/>
      <c r="G43" s="363"/>
      <c r="H43" s="363"/>
      <c r="I43" s="365"/>
      <c r="J43" s="318">
        <v>2754556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-3278222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25138</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5583288</v>
      </c>
      <c r="E49" s="319">
        <v>22678084.210000001</v>
      </c>
      <c r="F49" s="319"/>
      <c r="G49" s="319"/>
      <c r="H49" s="319"/>
      <c r="I49" s="318">
        <v>22556583</v>
      </c>
      <c r="J49" s="318">
        <v>5271790</v>
      </c>
      <c r="K49" s="319">
        <v>13247403.09</v>
      </c>
      <c r="L49" s="319"/>
      <c r="M49" s="319"/>
      <c r="N49" s="319"/>
      <c r="O49" s="318"/>
      <c r="P49" s="318">
        <v>256066</v>
      </c>
      <c r="Q49" s="319">
        <v>3903477.15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4418620</v>
      </c>
      <c r="AV49" s="368"/>
      <c r="AW49" s="374"/>
    </row>
    <row r="50" spans="2:49" x14ac:dyDescent="0.2">
      <c r="B50" s="343" t="s">
        <v>119</v>
      </c>
      <c r="C50" s="331" t="s">
        <v>34</v>
      </c>
      <c r="D50" s="318">
        <v>855076</v>
      </c>
      <c r="E50" s="363"/>
      <c r="F50" s="363"/>
      <c r="G50" s="363"/>
      <c r="H50" s="363"/>
      <c r="I50" s="365"/>
      <c r="J50" s="318">
        <v>2725004</v>
      </c>
      <c r="K50" s="363"/>
      <c r="L50" s="363"/>
      <c r="M50" s="363"/>
      <c r="N50" s="363"/>
      <c r="O50" s="365"/>
      <c r="P50" s="318">
        <v>222943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2784765</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279510.96000000002</v>
      </c>
      <c r="L53" s="319">
        <v>335846.41</v>
      </c>
      <c r="M53" s="319"/>
      <c r="N53" s="319"/>
      <c r="O53" s="318"/>
      <c r="P53" s="318">
        <v>0</v>
      </c>
      <c r="Q53" s="319">
        <v>-189223.01</v>
      </c>
      <c r="R53" s="319">
        <v>-2212734.48</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1222824502</v>
      </c>
      <c r="E54" s="323">
        <f>E24+E27+E31+E35-E36+E39+E42+E45+E46-E49+E51+E52+E53</f>
        <v>1574761849.4000001</v>
      </c>
      <c r="F54" s="323">
        <f>F24+F27+F31+F35-F36+F39+F42+F45+F46-F49+F51+F52+F53</f>
        <v>64907621.369999997</v>
      </c>
      <c r="G54" s="323">
        <f>G24+G27+G31+G35-G36+G39+G42+G45+G46-G49+G51+G52+G53</f>
        <v>0</v>
      </c>
      <c r="H54" s="323">
        <f>H24+H27+H31+H35-H36+H39+H42+H45+H46-H49+H51+H52+H53</f>
        <v>0</v>
      </c>
      <c r="I54" s="322">
        <f>I24+I27+I31+I35-I36+I39+I42+I45+I46-I49+I51+I52+I53</f>
        <v>1583510647</v>
      </c>
      <c r="J54" s="322">
        <f>J23+J26-J28+J30-J32+J34-J36+J38+J41-J43+J45+J46-J47-J49+J50+J51+J52+J53</f>
        <v>345876045</v>
      </c>
      <c r="K54" s="323">
        <f>K24+K27+K31+K35-K36+K39+K42+K45+K46-K49+K51+K52+K53</f>
        <v>402598661.70000005</v>
      </c>
      <c r="L54" s="323">
        <f>L24+L27+L31+L35-L36+L39+L42+L45+L46-L49+L51+L52+L53</f>
        <v>65584095.299999997</v>
      </c>
      <c r="M54" s="323">
        <f>M24+M27+M31+M35-M36+M39+M42+M45+M46-M49+M51+M52+M53</f>
        <v>0</v>
      </c>
      <c r="N54" s="323">
        <f>N24+N27+N31+N35-N36+N39+N42+N45+N46-N49+N51+N52+N53</f>
        <v>0</v>
      </c>
      <c r="O54" s="322">
        <f>O24+O27+O31+O35-O36+O39+O42+O45+O46-O49+O51+O52+O53</f>
        <v>0</v>
      </c>
      <c r="P54" s="322">
        <f>P23+P26-P28+P30-P32+P34-P36+P38+P41-P43+P45+P46-P47-P49+P50+P51+P52+P53</f>
        <v>114080126</v>
      </c>
      <c r="Q54" s="323">
        <f>Q24+Q27+Q31+Q35-Q36+Q39+Q42+Q45+Q46-Q49+Q51+Q52+Q53</f>
        <v>137364164.10000002</v>
      </c>
      <c r="R54" s="323">
        <f>R24+R27+R31+R35-R36+R39+R42+R45+R46-R49+R51+R52+R53</f>
        <v>13847403.01</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2817435</v>
      </c>
      <c r="AU54" s="324">
        <f>AU23+AU26-AU28+AU30-AU32+AU34-AU36+AU38+AU41-AU43+AU45+AU46-AU47-AU49+AU50+AU51+AU52+AU53</f>
        <v>319919501</v>
      </c>
      <c r="AV54" s="368"/>
      <c r="AW54" s="374"/>
    </row>
    <row r="55" spans="2:49" ht="25.5" x14ac:dyDescent="0.2">
      <c r="B55" s="348" t="s">
        <v>493</v>
      </c>
      <c r="C55" s="335" t="s">
        <v>28</v>
      </c>
      <c r="D55" s="322">
        <f t="shared" ref="D55:AC55" si="0">MIN(MAX(0,D56),MAX(0,D57))</f>
        <v>1755033.96</v>
      </c>
      <c r="E55" s="323">
        <f t="shared" si="0"/>
        <v>1839999.44</v>
      </c>
      <c r="F55" s="323">
        <f t="shared" si="0"/>
        <v>17881.82</v>
      </c>
      <c r="G55" s="323">
        <f t="shared" si="0"/>
        <v>0</v>
      </c>
      <c r="H55" s="323">
        <f t="shared" si="0"/>
        <v>0</v>
      </c>
      <c r="I55" s="322">
        <f t="shared" si="0"/>
        <v>1822006</v>
      </c>
      <c r="J55" s="322">
        <f t="shared" si="0"/>
        <v>607404.16</v>
      </c>
      <c r="K55" s="323">
        <f t="shared" si="0"/>
        <v>706315.49</v>
      </c>
      <c r="L55" s="323">
        <f t="shared" si="0"/>
        <v>110377.21</v>
      </c>
      <c r="M55" s="323">
        <f t="shared" si="0"/>
        <v>0</v>
      </c>
      <c r="N55" s="323">
        <f t="shared" si="0"/>
        <v>0</v>
      </c>
      <c r="O55" s="322">
        <f t="shared" si="0"/>
        <v>0</v>
      </c>
      <c r="P55" s="322">
        <f t="shared" si="0"/>
        <v>202308.18</v>
      </c>
      <c r="Q55" s="323">
        <f t="shared" si="0"/>
        <v>241755.23</v>
      </c>
      <c r="R55" s="323">
        <f t="shared" si="0"/>
        <v>23973.85</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1755033.96</v>
      </c>
      <c r="E56" s="319">
        <v>1839999.44</v>
      </c>
      <c r="F56" s="319">
        <v>84965.48</v>
      </c>
      <c r="G56" s="319"/>
      <c r="H56" s="319"/>
      <c r="I56" s="318">
        <v>1822006</v>
      </c>
      <c r="J56" s="318">
        <v>607404.16</v>
      </c>
      <c r="K56" s="319">
        <v>706315.49</v>
      </c>
      <c r="L56" s="319">
        <v>114384.53</v>
      </c>
      <c r="M56" s="319"/>
      <c r="N56" s="319"/>
      <c r="O56" s="318"/>
      <c r="P56" s="318">
        <v>202308.18</v>
      </c>
      <c r="Q56" s="319">
        <v>241755.23</v>
      </c>
      <c r="R56" s="319">
        <v>23973.85</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3280130</v>
      </c>
      <c r="E57" s="319">
        <v>3298011.87</v>
      </c>
      <c r="F57" s="319">
        <v>17881.82</v>
      </c>
      <c r="G57" s="319"/>
      <c r="H57" s="319"/>
      <c r="I57" s="318">
        <v>3088569</v>
      </c>
      <c r="J57" s="318">
        <v>844469</v>
      </c>
      <c r="K57" s="319">
        <v>954846.27</v>
      </c>
      <c r="L57" s="319">
        <v>110377.21</v>
      </c>
      <c r="M57" s="319"/>
      <c r="N57" s="319"/>
      <c r="O57" s="318"/>
      <c r="P57" s="318">
        <v>760426</v>
      </c>
      <c r="Q57" s="319">
        <v>801869.75</v>
      </c>
      <c r="R57" s="319">
        <v>41444.239999999998</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22</v>
      </c>
      <c r="AU57" s="321">
        <v>2491544</v>
      </c>
      <c r="AV57" s="321">
        <v>0</v>
      </c>
      <c r="AW57" s="374"/>
    </row>
    <row r="58" spans="2:49" s="5" customFormat="1" x14ac:dyDescent="0.2">
      <c r="B58" s="351" t="s">
        <v>494</v>
      </c>
      <c r="C58" s="352"/>
      <c r="D58" s="353"/>
      <c r="E58" s="354">
        <v>154011313.21000001</v>
      </c>
      <c r="F58" s="354"/>
      <c r="G58" s="354"/>
      <c r="H58" s="354"/>
      <c r="I58" s="353">
        <v>161444552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75709402.079999998</v>
      </c>
      <c r="D5" s="403">
        <v>1037790191.02</v>
      </c>
      <c r="E5" s="454"/>
      <c r="F5" s="454"/>
      <c r="G5" s="448"/>
      <c r="H5" s="402">
        <v>233894808.25</v>
      </c>
      <c r="I5" s="403">
        <v>347843313.07999998</v>
      </c>
      <c r="J5" s="454"/>
      <c r="K5" s="454"/>
      <c r="L5" s="448"/>
      <c r="M5" s="402">
        <v>100162210.13</v>
      </c>
      <c r="N5" s="403">
        <v>115461787.14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76096494.689999998</v>
      </c>
      <c r="D6" s="398">
        <v>1040737050.04</v>
      </c>
      <c r="E6" s="400">
        <f>SUM('Pt 1 Summary of Data'!E$12,'Pt 1 Summary of Data'!E$22)+SUM('Pt 1 Summary of Data'!G$12,'Pt 1 Summary of Data'!G$22)-SUM('Pt 1 Summary of Data'!H$12,'Pt 1 Summary of Data'!H$22)</f>
        <v>1576601848.8400002</v>
      </c>
      <c r="F6" s="400">
        <f t="shared" ref="F6:F11" si="0">SUM(C6:E6)</f>
        <v>2693435393.5700002</v>
      </c>
      <c r="G6" s="401">
        <f>SUM('Pt 1 Summary of Data'!I$12,'Pt 1 Summary of Data'!I$22)</f>
        <v>1585332653</v>
      </c>
      <c r="H6" s="397">
        <v>233826597.66</v>
      </c>
      <c r="I6" s="398">
        <v>344707055.33999997</v>
      </c>
      <c r="J6" s="400">
        <f>SUM('Pt 1 Summary of Data'!K$12,'Pt 1 Summary of Data'!K$22)+SUM('Pt 1 Summary of Data'!M$12,'Pt 1 Summary of Data'!M$22)-SUM('Pt 1 Summary of Data'!N$12,'Pt 1 Summary of Data'!N$22)</f>
        <v>403304977.19000006</v>
      </c>
      <c r="K6" s="400">
        <f>SUM(H6:J6)</f>
        <v>981838630.19000006</v>
      </c>
      <c r="L6" s="401">
        <f>SUM('Pt 1 Summary of Data'!O$12,'Pt 1 Summary of Data'!O$22)</f>
        <v>0</v>
      </c>
      <c r="M6" s="397">
        <v>100301348.83</v>
      </c>
      <c r="N6" s="398">
        <v>115726270.63</v>
      </c>
      <c r="O6" s="400">
        <f>SUM('Pt 1 Summary of Data'!Q$12,'Pt 1 Summary of Data'!Q$22)+SUM('Pt 1 Summary of Data'!S$12,'Pt 1 Summary of Data'!S$22)-SUM('Pt 1 Summary of Data'!T$12,'Pt 1 Summary of Data'!T$22)</f>
        <v>137605919.33000001</v>
      </c>
      <c r="P6" s="400">
        <f>SUM(M6:O6)</f>
        <v>353633538.78999996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2512857.04</v>
      </c>
      <c r="D7" s="398">
        <v>10098397.140000001</v>
      </c>
      <c r="E7" s="400">
        <f>SUM('Pt 1 Summary of Data'!E$37:E$41)+SUM('Pt 1 Summary of Data'!G$37:G$41)-SUM('Pt 1 Summary of Data'!H$37:H$41)+MAX(0,MIN('Pt 1 Summary of Data'!E$42+'Pt 1 Summary of Data'!G$42-'Pt 1 Summary of Data'!H$42,0.3%*('Pt 1 Summary of Data'!E$5+'Pt 1 Summary of Data'!G$5-'Pt 1 Summary of Data'!H$5-SUM(E$9:E$11))))</f>
        <v>13122832.639999999</v>
      </c>
      <c r="F7" s="400">
        <f t="shared" si="0"/>
        <v>25734086.82</v>
      </c>
      <c r="G7" s="401">
        <f>SUM('Pt 1 Summary of Data'!I$37:I$41)+MAX(0,MIN(VALUE('Pt 1 Summary of Data'!I$42),0.3%*('Pt 1 Summary of Data'!I$5-SUM(G$9:G$10))))</f>
        <v>12982014</v>
      </c>
      <c r="H7" s="397">
        <v>6897949.21</v>
      </c>
      <c r="I7" s="398">
        <v>8384635.5</v>
      </c>
      <c r="J7" s="400">
        <f>SUM('Pt 1 Summary of Data'!K$37:K$41)+SUM('Pt 1 Summary of Data'!M$37:M$41)-SUM('Pt 1 Summary of Data'!N$37:N$41)+MAX(0,MIN('Pt 1 Summary of Data'!K$42+'Pt 1 Summary of Data'!M$42-'Pt 1 Summary of Data'!N$42,0.3%*('Pt 1 Summary of Data'!K$5+'Pt 1 Summary of Data'!M$5-'Pt 1 Summary of Data'!N$5-SUM(J$10:J$11))))</f>
        <v>7668081.5200000005</v>
      </c>
      <c r="K7" s="400">
        <f>SUM(H7:J7)</f>
        <v>22950666.23</v>
      </c>
      <c r="L7" s="401">
        <f>SUM('Pt 1 Summary of Data'!O$37:O$41)+MAX(0,MIN(VALUE('Pt 1 Summary of Data'!O$42),0.3%*('Pt 1 Summary of Data'!O$5-L$10)))</f>
        <v>0</v>
      </c>
      <c r="M7" s="397">
        <v>2368971.48</v>
      </c>
      <c r="N7" s="398">
        <v>2447182.37</v>
      </c>
      <c r="O7" s="400">
        <f>SUM('Pt 1 Summary of Data'!Q$37:Q$41)+SUM('Pt 1 Summary of Data'!S$37:S$41)-SUM('Pt 1 Summary of Data'!T$37:T$41)+MAX(0,MIN('Pt 1 Summary of Data'!Q$42+'Pt 1 Summary of Data'!S$42-'Pt 1 Summary of Data'!T$42,0.3%*('Pt 1 Summary of Data'!Q$5+'Pt 1 Summary of Data'!S$5-'Pt 1 Summary of Data'!T$5)))</f>
        <v>2912331.4200000004</v>
      </c>
      <c r="P7" s="400">
        <f>SUM(M7:O7)</f>
        <v>7728485.2699999996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101219296.08</v>
      </c>
      <c r="E8" s="400">
        <f>'Pt 2 Premium and Claims'!E58+'Pt 2 Premium and Claims'!G58-'Pt 2 Premium and Claims'!H58</f>
        <v>154011313.21000001</v>
      </c>
      <c r="F8" s="400">
        <f t="shared" si="0"/>
        <v>255230609.29000002</v>
      </c>
      <c r="G8" s="401">
        <f>'Pt 2 Premium and Claims'!I58</f>
        <v>161444552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194926953.75999999</v>
      </c>
      <c r="E9" s="400">
        <f>'Pt 2 Premium and Claims'!E$15+'Pt 2 Premium and Claims'!G$15-'Pt 2 Premium and Claims'!H$15</f>
        <v>213455181.25999999</v>
      </c>
      <c r="F9" s="400">
        <f t="shared" si="0"/>
        <v>408382135.01999998</v>
      </c>
      <c r="G9" s="401">
        <f>'Pt 2 Premium and Claims'!I$15</f>
        <v>213455181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64808.72</v>
      </c>
      <c r="E10" s="400">
        <f>'Pt 2 Premium and Claims'!E$16+'Pt 2 Premium and Claims'!G$16-'Pt 2 Premium and Claims'!H$16</f>
        <v>68541368.019999996</v>
      </c>
      <c r="F10" s="400">
        <f t="shared" si="0"/>
        <v>68606176.739999995</v>
      </c>
      <c r="G10" s="401">
        <f>'Pt 2 Premium and Claims'!I$16</f>
        <v>68541368</v>
      </c>
      <c r="H10" s="443"/>
      <c r="I10" s="398">
        <v>-6158.42</v>
      </c>
      <c r="J10" s="400">
        <f>'Pt 2 Premium and Claims'!K$16+'Pt 2 Premium and Claims'!M$16-'Pt 2 Premium and Claims'!N$16</f>
        <v>-3209903.85</v>
      </c>
      <c r="K10" s="400">
        <f>SUM(H10:J10)</f>
        <v>-3216062.27</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10197308.189999999</v>
      </c>
      <c r="E11" s="400">
        <f>'Pt 2 Premium and Claims'!E$17+'Pt 2 Premium and Claims'!G$17-'Pt 2 Premium and Claims'!H$17</f>
        <v>0</v>
      </c>
      <c r="F11" s="400">
        <f t="shared" si="0"/>
        <v>10197308.189999999</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78609351.730000004</v>
      </c>
      <c r="D12" s="400">
        <f>SUM(D$6:D$7) - SUM(D$8:D$11)+IF(AND(OR('Company Information'!$C$12="District of Columbia",'Company Information'!$C$12="Massachusetts",'Company Information'!$C$12="Vermont"),SUM($C$6:$F$11,$C$15:$F$16,$C$38:$D$38)&lt;&gt;0),SUM(I$6:I$7) - SUM(I$10:I$11),0)</f>
        <v>744427080.42999995</v>
      </c>
      <c r="E12" s="400">
        <f>SUM(E$6:E$7)-SUM(E$8:E$11)+IF(AND(OR('Company Information'!$C$12="District of Columbia",'Company Information'!$C$12="Massachusetts",'Company Information'!$C$12="Vermont"),SUM($C$6:$F$11,$C$15:$F$16,$C$38:$D$38)&lt;&gt;0),SUM(J$6:J$7)-SUM(J$10:J$11),0)</f>
        <v>1153716818.9900002</v>
      </c>
      <c r="F12" s="400">
        <f>IFERROR(SUM(C$12:E$12)+C$17*MAX(0,E$50-C$50)+D$17*MAX(0,E$50-D$50),0)</f>
        <v>1976753251.1500001</v>
      </c>
      <c r="G12" s="447"/>
      <c r="H12" s="399">
        <f>SUM(H$6:H$7)+IF(AND(OR('Company Information'!$C$12="District of Columbia",'Company Information'!$C$12="Massachusetts",'Company Information'!$C$12="Vermont"),SUM($H$6:$K$11,$H$15:$K$16,$H$38:$I$38)&lt;&gt;0),SUM(C$6:C$7),0)</f>
        <v>240724546.87</v>
      </c>
      <c r="I12" s="400">
        <f>SUM(I$6:I$7) - SUM(I$10:I$11)+IF(AND(OR('Company Information'!$C$12="District of Columbia",'Company Information'!$C$12="Massachusetts",'Company Information'!$C$12="Vermont"),SUM($H$6:$K$11,$H$15:$K$16,$H$38:$I$38)&lt;&gt;0),SUM(D$6:D$7) - SUM(D$8:D$11),0)</f>
        <v>353097849.25999999</v>
      </c>
      <c r="J12" s="400">
        <f>SUM(J$6:J$7)-SUM(J$10:J$11)+IF(AND(OR('Company Information'!$C$12="District of Columbia",'Company Information'!$C$12="Massachusetts",'Company Information'!$C$12="Vermont"),SUM($H$6:$K$11,$H$15:$K$16,$H$38:$I$38)&lt;&gt;0),SUM(E$6:E$7)-SUM(E$8:E$11),0)</f>
        <v>414182962.56000006</v>
      </c>
      <c r="K12" s="400">
        <f>IFERROR(SUM(H$12:J$12)+H$17*MAX(0,J$50-H$50)+I$17*MAX(0,J$50-I$50),0)</f>
        <v>1008005358.6900001</v>
      </c>
      <c r="L12" s="447"/>
      <c r="M12" s="399">
        <f>SUM(M$6:M$7)</f>
        <v>102670320.31</v>
      </c>
      <c r="N12" s="400">
        <f>SUM(N$6:N$7)</f>
        <v>118173453</v>
      </c>
      <c r="O12" s="400">
        <f>SUM(O$6:O$7)</f>
        <v>140518250.75</v>
      </c>
      <c r="P12" s="400">
        <f>SUM(M$12:O$12)+M$17*MAX(0,O$50-M$50)+N$17*MAX(0,O$50-N$50)</f>
        <v>361362024.06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90196482.469999999</v>
      </c>
      <c r="D15" s="403">
        <v>817287602.63999999</v>
      </c>
      <c r="E15" s="395">
        <f>SUM('Pt 1 Summary of Data'!E$5:E$7)+SUM('Pt 1 Summary of Data'!G$5:G$7)-SUM('Pt 1 Summary of Data'!H$5:H$7)-SUM(E$9:E$11)</f>
        <v>1157687785.96</v>
      </c>
      <c r="F15" s="395">
        <f>SUM(C15:E15)</f>
        <v>2065171871.0700002</v>
      </c>
      <c r="G15" s="396">
        <f>SUM('Pt 1 Summary of Data'!I$5:I$7)-SUM(G$9:G$10)</f>
        <v>1149316844</v>
      </c>
      <c r="H15" s="402">
        <v>325508741.54000002</v>
      </c>
      <c r="I15" s="403">
        <v>438419082.11000001</v>
      </c>
      <c r="J15" s="395">
        <f>SUM('Pt 1 Summary of Data'!K$5:K$7)+SUM('Pt 1 Summary of Data'!M$5:M$7)-SUM('Pt 1 Summary of Data'!N$5:N$7)-SUM(J$10:J$11)</f>
        <v>516516362.32999998</v>
      </c>
      <c r="K15" s="395">
        <f>SUM(H15:J15)</f>
        <v>1280444185.98</v>
      </c>
      <c r="L15" s="396">
        <f>SUM('Pt 1 Summary of Data'!O$5:O$7)-L$10</f>
        <v>0</v>
      </c>
      <c r="M15" s="402">
        <v>120517144.48999999</v>
      </c>
      <c r="N15" s="403">
        <v>137316009.11000001</v>
      </c>
      <c r="O15" s="395">
        <f>SUM('Pt 1 Summary of Data'!Q$5:Q$7)+SUM('Pt 1 Summary of Data'!S$5:S$7)-SUM('Pt 1 Summary of Data'!T$5:T$7)+N$56</f>
        <v>165986370.69</v>
      </c>
      <c r="P15" s="395">
        <f>SUM(M15:O15)</f>
        <v>423819524.29000002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-2962269.97</v>
      </c>
      <c r="D16" s="398">
        <v>54776097.890000001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48634411.450000003</v>
      </c>
      <c r="F16" s="400">
        <f>SUM(C16:E16)</f>
        <v>100448239.37</v>
      </c>
      <c r="G16" s="401">
        <f>SUM('Pt 1 Summary of Data'!I$25:I$28,'Pt 1 Summary of Data'!I$30,'Pt 1 Summary of Data'!I$34:I$35)+IF('Company Information'!$C$15="No",IF(MAX('Pt 1 Summary of Data'!I$31:I$32)=0,MIN('Pt 1 Summary of Data'!I$31:I$32),MAX('Pt 1 Summary of Data'!I$31:I$32)),SUM('Pt 1 Summary of Data'!I$31:I$32))</f>
        <v>-11663560</v>
      </c>
      <c r="H16" s="397">
        <v>20195479.300000001</v>
      </c>
      <c r="I16" s="398">
        <v>23274961.670000002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28178743.370000001</v>
      </c>
      <c r="K16" s="400">
        <f>SUM(H16:J16)</f>
        <v>71649184.340000004</v>
      </c>
      <c r="L16" s="401">
        <f>SUM('Pt 1 Summary of Data'!O$25:O$28,'Pt 1 Summary of Data'!O$30,'Pt 1 Summary of Data'!O$34:O$35)+IF('Company Information'!$C$15="No",IF(MAX('Pt 1 Summary of Data'!O$31:O$32)=0,MIN('Pt 1 Summary of Data'!O$31:O$32),MAX('Pt 1 Summary of Data'!O$31:O$32)),SUM('Pt 1 Summary of Data'!O$31:O$32))</f>
        <v>0</v>
      </c>
      <c r="M16" s="397">
        <v>2837728.35</v>
      </c>
      <c r="N16" s="398">
        <v>3640510.17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7459848.5099999988</v>
      </c>
      <c r="P16" s="400">
        <f>SUM(M16:O16)</f>
        <v>13938087.029999997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93158752.439999998</v>
      </c>
      <c r="D17" s="400">
        <f>D$15-D$16+IF(AND(OR('Company Information'!$C$12="District of Columbia",'Company Information'!$C$12="Massachusetts",'Company Information'!$C$12="Vermont"),SUM($C$6:$F$11,$C$15:$F$16,$C$38:$D$38)&lt;&gt;0),I$15-I$16,0)</f>
        <v>762511504.75</v>
      </c>
      <c r="E17" s="400">
        <f>E$15-E$16+IF(AND(OR('Company Information'!$C$12="District of Columbia",'Company Information'!$C$12="Massachusetts",'Company Information'!$C$12="Vermont"),SUM($C$6:$F$11,$C$15:$F$16,$C$38:$D$38)&lt;&gt;0),J$15-J$16,0)</f>
        <v>1109053374.51</v>
      </c>
      <c r="F17" s="400">
        <f>F$15-F$16+IF(AND(OR('Company Information'!$C$12="District of Columbia",'Company Information'!$C$12="Massachusetts",'Company Information'!$C$12="Vermont"),SUM($C$6:$F$11,$C$15:$F$16,$C$38:$D$38)&lt;&gt;0),K$15-K$16,0)</f>
        <v>1964723631.7000003</v>
      </c>
      <c r="G17" s="450"/>
      <c r="H17" s="399">
        <f>H$15-H$16+IF(AND(OR('Company Information'!$C$12="District of Columbia",'Company Information'!$C$12="Massachusetts",'Company Information'!$C$12="Vermont"),SUM($H$6:$K$11,$H$15:$K$16,$H$38:$I$38)&lt;&gt;0),C$15-C$16,0)</f>
        <v>305313262.24000001</v>
      </c>
      <c r="I17" s="400">
        <f>I$15-I$16+IF(AND(OR('Company Information'!$C$12="District of Columbia",'Company Information'!$C$12="Massachusetts",'Company Information'!$C$12="Vermont"),SUM($H$6:$K$11,$H$15:$K$16,$H$38:$I$38)&lt;&gt;0),D$15-D$16,0)</f>
        <v>415144120.44</v>
      </c>
      <c r="J17" s="400">
        <f>J$15-J$16+IF(AND(OR('Company Information'!$C$12="District of Columbia",'Company Information'!$C$12="Massachusetts",'Company Information'!$C$12="Vermont"),SUM($H$6:$K$11,$H$15:$K$16,$H$38:$I$38)&lt;&gt;0),E$15-E$16,0)</f>
        <v>488337618.95999998</v>
      </c>
      <c r="K17" s="400">
        <f>K$15-K$16+IF(AND(OR('Company Information'!$C$12="District of Columbia",'Company Information'!$C$12="Massachusetts",'Company Information'!$C$12="Vermont"),SUM($H$6:$K$11,$H$15:$K$16,$H$38:$I$38)&lt;&gt;0),F$15-F$16,0)</f>
        <v>1208795001.6400001</v>
      </c>
      <c r="L17" s="450"/>
      <c r="M17" s="399">
        <f>M$15-M$16</f>
        <v>117679416.14</v>
      </c>
      <c r="N17" s="400">
        <f>N$15-N$16</f>
        <v>133675498.94000001</v>
      </c>
      <c r="O17" s="400">
        <f>O$15-O$16</f>
        <v>158526522.18000001</v>
      </c>
      <c r="P17" s="400">
        <f>P$15-P$16</f>
        <v>409881437.26000005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1158737978</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153880209</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58049020.200000003</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-151637783</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58049020.200000003</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34829412.119999997</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200265669.19999999</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200265669.19999999</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243752128.88</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949051174.79999995</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177046061.12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34829412.119999997</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177046061.12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220532520.80000001</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972270782.88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1.1917852499564561</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111255196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102595956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54558</v>
      </c>
      <c r="D38" s="405">
        <v>239298.08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286839.41666666669</v>
      </c>
      <c r="F38" s="432">
        <f>SUM(C$38:E$38)+IF(AND(OR('Company Information'!$C$12="District of Columbia",'Company Information'!$C$12="Massachusetts",'Company Information'!$C$12="Vermont"),SUM($C$6:$F$11,$C$15:$F$16,$C$38:$D$38)&lt;&gt;0,SUM(C$38:D$38)&lt;&gt;SUM(H$38:I$38)),SUM(H$38:I$38),0)</f>
        <v>580695.49666666659</v>
      </c>
      <c r="G38" s="448"/>
      <c r="H38" s="404">
        <v>79669</v>
      </c>
      <c r="I38" s="405">
        <v>100686.83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108948</v>
      </c>
      <c r="K38" s="432">
        <f>SUM(H$38:J$38)+IF(AND(OR('Company Information'!$C$12="District of Columbia",'Company Information'!$C$12="Massachusetts",'Company Information'!$C$12="Vermont"),SUM($H$6:$K$11,$H$15:$K$16,$H$38:$I$38)&lt;&gt;0,SUM(H$38:I$38)&lt;&gt;SUM(C$38:D$38)),SUM(C$38:D$38),0)</f>
        <v>289303.83</v>
      </c>
      <c r="L38" s="448"/>
      <c r="M38" s="404">
        <v>27678</v>
      </c>
      <c r="N38" s="405">
        <v>30580.080000000002</v>
      </c>
      <c r="O38" s="432">
        <f>('Pt 1 Summary of Data'!Q$59+'Pt 1 Summary of Data'!S$59-'Pt 1 Summary of Data'!T$59)/12</f>
        <v>35142.083333333336</v>
      </c>
      <c r="P38" s="432">
        <f>SUM(M$38:O$38)</f>
        <v>93400.16333333333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9111</v>
      </c>
      <c r="G40" s="447"/>
      <c r="H40" s="443"/>
      <c r="I40" s="441"/>
      <c r="J40" s="441"/>
      <c r="K40" s="398">
        <v>2191</v>
      </c>
      <c r="L40" s="447"/>
      <c r="M40" s="443"/>
      <c r="N40" s="441"/>
      <c r="O40" s="441"/>
      <c r="P40" s="398">
        <v>1894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1.6766147999999998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0.84382143031197521</v>
      </c>
      <c r="D45" s="436">
        <f>IF(OR(D$38&lt;1000,D$17&lt;=0),"",D$12/D$17)</f>
        <v>0.97628308004883246</v>
      </c>
      <c r="E45" s="436">
        <f>IF(OR(E$38&lt;1000,E$17&lt;=0),"",E$12/E$17)</f>
        <v>1.0402716816940694</v>
      </c>
      <c r="F45" s="436">
        <f>IF(OR(F$38&lt;1000,F$17&lt;=0),"",F$12/F$17)</f>
        <v>1.0061228048850774</v>
      </c>
      <c r="G45" s="447"/>
      <c r="H45" s="438">
        <f>IF(OR(H$38&lt;1000,H$17&lt;=0),"",H$12/H$17)</f>
        <v>0.78845099981530364</v>
      </c>
      <c r="I45" s="436">
        <f>IF(OR(I$38&lt;1000,I$17&lt;=0),"",I$12/I$17)</f>
        <v>0.85054281603641924</v>
      </c>
      <c r="J45" s="436">
        <f>IF(OR(J$38&lt;1000,J$17&lt;=0),"",J$12/J$17)</f>
        <v>0.84814879394725895</v>
      </c>
      <c r="K45" s="436">
        <f>IF(OR(K$38&lt;1000,K$17&lt;=0),"",K$12/K$17)</f>
        <v>0.83389272566681361</v>
      </c>
      <c r="L45" s="447"/>
      <c r="M45" s="438">
        <f>IF(OR(M$38&lt;1000,M$17&lt;=0),"",M$12/M$17)</f>
        <v>0.87245776430311239</v>
      </c>
      <c r="N45" s="436">
        <f>IF(OR(N$38&lt;1000,N$17&lt;=0),"",N$12/N$17)</f>
        <v>0.88403225674917374</v>
      </c>
      <c r="O45" s="436">
        <f>IF(OR(O$38&lt;1000,O$17&lt;=0),"",O$12/O$17)</f>
        <v>0.88640215414836143</v>
      </c>
      <c r="P45" s="436">
        <f>IF(OR(P$38&lt;1000,P$17&lt;=0),"",P$12/P$17)</f>
        <v>0.88162573664144073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IF(F$45="","",ROUND(F$45+MAX(0,F$47),3))</f>
        <v>1.006</v>
      </c>
      <c r="G48" s="447"/>
      <c r="H48" s="443"/>
      <c r="I48" s="441"/>
      <c r="J48" s="441"/>
      <c r="K48" s="436">
        <f>IF(K$45="","",ROUND(K$45+MAX(0,K$47),3))</f>
        <v>0.83399999999999996</v>
      </c>
      <c r="L48" s="447"/>
      <c r="M48" s="443"/>
      <c r="N48" s="441"/>
      <c r="O48" s="441"/>
      <c r="P48" s="436">
        <f>IF(P$45="","",ROUND(P$45+MAX(0,P$47),3))</f>
        <v>0.88200000000000001</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1.006</v>
      </c>
      <c r="G51" s="447"/>
      <c r="H51" s="444"/>
      <c r="I51" s="442"/>
      <c r="J51" s="442"/>
      <c r="K51" s="436">
        <f>K$48</f>
        <v>0.83399999999999996</v>
      </c>
      <c r="L51" s="447"/>
      <c r="M51" s="444"/>
      <c r="N51" s="442"/>
      <c r="O51" s="442"/>
      <c r="P51" s="436">
        <f>P$48</f>
        <v>0.88200000000000001</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1109053374.51</v>
      </c>
      <c r="G52" s="447"/>
      <c r="H52" s="443"/>
      <c r="I52" s="441"/>
      <c r="J52" s="441"/>
      <c r="K52" s="400">
        <f>IF(K$38&lt;1000,"",MAX(0,J$15-J$16))</f>
        <v>488337618.95999998</v>
      </c>
      <c r="L52" s="447"/>
      <c r="M52" s="443"/>
      <c r="N52" s="441"/>
      <c r="O52" s="441"/>
      <c r="P52" s="400">
        <f>IF(P$38&lt;1000,"",MAX(0,O$15-O$16))</f>
        <v>158526522.18000001</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3864412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964415301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968279713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168016</v>
      </c>
      <c r="D4" s="104">
        <f>'Pt 1 Summary of Data'!$K$56+'Pt 1 Summary of Data'!$M$56-'Pt 1 Summary of Data'!$N$56</f>
        <v>69740</v>
      </c>
      <c r="E4" s="104">
        <f>'Pt 1 Summary of Data'!$Q$56+'Pt 1 Summary of Data'!$S$56-'Pt 1 Summary of Data'!$T$56</f>
        <v>20686</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t="s">
        <v>512</v>
      </c>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510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c r="C30" s="113"/>
      <c r="D30" s="137" t="s">
        <v>517</v>
      </c>
      <c r="E30" s="7"/>
    </row>
    <row r="31" spans="2:5" ht="35.25" customHeight="1" x14ac:dyDescent="0.2">
      <c r="B31" s="134"/>
      <c r="C31" s="113"/>
      <c r="D31" s="137" t="s">
        <v>518</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519</v>
      </c>
      <c r="E34" s="7"/>
    </row>
    <row r="35" spans="2:5" ht="35.25" customHeight="1" x14ac:dyDescent="0.2">
      <c r="B35" s="134"/>
      <c r="C35" s="113"/>
      <c r="D35" s="137" t="s">
        <v>520</v>
      </c>
      <c r="E35" s="7"/>
    </row>
    <row r="36" spans="2:5" ht="35.25" customHeight="1" x14ac:dyDescent="0.2">
      <c r="B36" s="134"/>
      <c r="C36" s="113"/>
      <c r="D36" s="137" t="s">
        <v>521</v>
      </c>
      <c r="E36" s="7"/>
    </row>
    <row r="37" spans="2:5" ht="35.25" customHeight="1" x14ac:dyDescent="0.2">
      <c r="B37" s="134"/>
      <c r="C37" s="113"/>
      <c r="D37" s="137" t="s">
        <v>522</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524</v>
      </c>
      <c r="E48" s="7"/>
    </row>
    <row r="49" spans="2:5" ht="35.25" customHeight="1" x14ac:dyDescent="0.2">
      <c r="B49" s="134"/>
      <c r="C49" s="113"/>
      <c r="D49" s="137" t="s">
        <v>525</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526</v>
      </c>
      <c r="E56" s="7"/>
    </row>
    <row r="57" spans="2:5" ht="35.25" customHeight="1" x14ac:dyDescent="0.2">
      <c r="B57" s="134"/>
      <c r="C57" s="115"/>
      <c r="D57" s="137" t="s">
        <v>527</v>
      </c>
      <c r="E57" s="7"/>
    </row>
    <row r="58" spans="2:5" ht="35.25" customHeight="1" x14ac:dyDescent="0.2">
      <c r="B58" s="134"/>
      <c r="C58" s="115"/>
      <c r="D58" s="137" t="s">
        <v>528</v>
      </c>
      <c r="E58" s="7"/>
    </row>
    <row r="59" spans="2:5" ht="35.25" customHeight="1" x14ac:dyDescent="0.2">
      <c r="B59" s="134"/>
      <c r="C59" s="115"/>
      <c r="D59" s="137" t="s">
        <v>529</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526</v>
      </c>
      <c r="E67" s="7"/>
    </row>
    <row r="68" spans="2:5" ht="35.25" customHeight="1" x14ac:dyDescent="0.2">
      <c r="B68" s="134"/>
      <c r="C68" s="115"/>
      <c r="D68" s="137" t="s">
        <v>527</v>
      </c>
      <c r="E68" s="7"/>
    </row>
    <row r="69" spans="2:5" ht="35.25" customHeight="1" x14ac:dyDescent="0.2">
      <c r="B69" s="134"/>
      <c r="C69" s="115"/>
      <c r="D69" s="137" t="s">
        <v>528</v>
      </c>
      <c r="E69" s="7"/>
    </row>
    <row r="70" spans="2:5" ht="35.25" customHeight="1" x14ac:dyDescent="0.2">
      <c r="B70" s="134"/>
      <c r="C70" s="115"/>
      <c r="D70" s="137" t="s">
        <v>529</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526</v>
      </c>
      <c r="E78" s="7"/>
    </row>
    <row r="79" spans="2:5" ht="35.25" customHeight="1" x14ac:dyDescent="0.2">
      <c r="B79" s="134"/>
      <c r="C79" s="115"/>
      <c r="D79" s="137" t="s">
        <v>527</v>
      </c>
      <c r="E79" s="7"/>
    </row>
    <row r="80" spans="2:5" ht="35.25" customHeight="1" x14ac:dyDescent="0.2">
      <c r="B80" s="134"/>
      <c r="C80" s="115"/>
      <c r="D80" s="137" t="s">
        <v>528</v>
      </c>
      <c r="E80" s="7"/>
    </row>
    <row r="81" spans="2:5" ht="35.25" customHeight="1" x14ac:dyDescent="0.2">
      <c r="B81" s="134"/>
      <c r="C81" s="115"/>
      <c r="D81" s="137" t="s">
        <v>529</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526</v>
      </c>
      <c r="E89" s="7"/>
    </row>
    <row r="90" spans="2:5" ht="35.25" customHeight="1" x14ac:dyDescent="0.2">
      <c r="B90" s="134"/>
      <c r="C90" s="115"/>
      <c r="D90" s="137" t="s">
        <v>527</v>
      </c>
      <c r="E90" s="7"/>
    </row>
    <row r="91" spans="2:5" ht="35.25" customHeight="1" x14ac:dyDescent="0.2">
      <c r="B91" s="134"/>
      <c r="C91" s="115"/>
      <c r="D91" s="137" t="s">
        <v>528</v>
      </c>
      <c r="E91" s="7"/>
    </row>
    <row r="92" spans="2:5" ht="35.25" customHeight="1" x14ac:dyDescent="0.2">
      <c r="B92" s="134"/>
      <c r="C92" s="115"/>
      <c r="D92" s="137" t="s">
        <v>529</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530</v>
      </c>
      <c r="E100" s="7"/>
    </row>
    <row r="101" spans="2:5" ht="35.25" customHeight="1" x14ac:dyDescent="0.2">
      <c r="B101" s="134"/>
      <c r="C101" s="115"/>
      <c r="D101" s="137" t="s">
        <v>531</v>
      </c>
      <c r="E101" s="7"/>
    </row>
    <row r="102" spans="2:5" ht="35.25" customHeight="1" x14ac:dyDescent="0.2">
      <c r="B102" s="134"/>
      <c r="C102" s="115"/>
      <c r="D102" s="137" t="s">
        <v>532</v>
      </c>
      <c r="E102" s="7"/>
    </row>
    <row r="103" spans="2:5" ht="35.25" customHeight="1" x14ac:dyDescent="0.2">
      <c r="B103" s="134"/>
      <c r="C103" s="115"/>
      <c r="D103" s="137" t="s">
        <v>533</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526</v>
      </c>
      <c r="E111" s="27"/>
    </row>
    <row r="112" spans="2:5" s="5" customFormat="1" ht="35.25" customHeight="1" x14ac:dyDescent="0.2">
      <c r="B112" s="134"/>
      <c r="C112" s="115"/>
      <c r="D112" s="137" t="s">
        <v>527</v>
      </c>
      <c r="E112" s="27"/>
    </row>
    <row r="113" spans="2:5" s="5" customFormat="1" ht="35.25" customHeight="1" x14ac:dyDescent="0.2">
      <c r="B113" s="134"/>
      <c r="C113" s="115"/>
      <c r="D113" s="137" t="s">
        <v>528</v>
      </c>
      <c r="E113" s="27"/>
    </row>
    <row r="114" spans="2:5" s="5" customFormat="1" ht="35.25" customHeight="1" x14ac:dyDescent="0.2">
      <c r="B114" s="134"/>
      <c r="C114" s="115"/>
      <c r="D114" s="137" t="s">
        <v>529</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526</v>
      </c>
      <c r="E123" s="7"/>
    </row>
    <row r="124" spans="2:5" s="5" customFormat="1" ht="35.25" customHeight="1" x14ac:dyDescent="0.2">
      <c r="B124" s="134"/>
      <c r="C124" s="113"/>
      <c r="D124" s="137" t="s">
        <v>527</v>
      </c>
      <c r="E124" s="27"/>
    </row>
    <row r="125" spans="2:5" s="5" customFormat="1" ht="35.25" customHeight="1" x14ac:dyDescent="0.2">
      <c r="B125" s="134"/>
      <c r="C125" s="113"/>
      <c r="D125" s="137" t="s">
        <v>528</v>
      </c>
      <c r="E125" s="27"/>
    </row>
    <row r="126" spans="2:5" s="5" customFormat="1" ht="35.25" customHeight="1" x14ac:dyDescent="0.2">
      <c r="B126" s="134"/>
      <c r="C126" s="113"/>
      <c r="D126" s="137" t="s">
        <v>529</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526</v>
      </c>
      <c r="E134" s="27"/>
    </row>
    <row r="135" spans="2:5" s="5" customFormat="1" ht="35.25" customHeight="1" x14ac:dyDescent="0.2">
      <c r="B135" s="134"/>
      <c r="C135" s="113"/>
      <c r="D135" s="137" t="s">
        <v>527</v>
      </c>
      <c r="E135" s="27"/>
    </row>
    <row r="136" spans="2:5" s="5" customFormat="1" ht="35.25" customHeight="1" x14ac:dyDescent="0.2">
      <c r="B136" s="134"/>
      <c r="C136" s="113"/>
      <c r="D136" s="137" t="s">
        <v>528</v>
      </c>
      <c r="E136" s="27"/>
    </row>
    <row r="137" spans="2:5" s="5" customFormat="1" ht="35.25" customHeight="1" x14ac:dyDescent="0.2">
      <c r="B137" s="134"/>
      <c r="C137" s="113"/>
      <c r="D137" s="137" t="s">
        <v>529</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527</v>
      </c>
      <c r="E145" s="27"/>
    </row>
    <row r="146" spans="2:5" s="5" customFormat="1" ht="35.25" customHeight="1" x14ac:dyDescent="0.2">
      <c r="B146" s="134"/>
      <c r="C146" s="113"/>
      <c r="D146" s="137" t="s">
        <v>528</v>
      </c>
      <c r="E146" s="27"/>
    </row>
    <row r="147" spans="2:5" s="5" customFormat="1" ht="35.25" customHeight="1" x14ac:dyDescent="0.2">
      <c r="B147" s="134"/>
      <c r="C147" s="113"/>
      <c r="D147" s="137" t="s">
        <v>529</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527</v>
      </c>
      <c r="E167" s="27"/>
    </row>
    <row r="168" spans="2:5" s="5" customFormat="1" ht="35.25" customHeight="1" x14ac:dyDescent="0.2">
      <c r="B168" s="134"/>
      <c r="C168" s="113"/>
      <c r="D168" s="137" t="s">
        <v>528</v>
      </c>
      <c r="E168" s="27"/>
    </row>
    <row r="169" spans="2:5" s="5" customFormat="1" ht="35.25" customHeight="1" x14ac:dyDescent="0.2">
      <c r="B169" s="134"/>
      <c r="C169" s="113"/>
      <c r="D169" s="137" t="s">
        <v>529</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527</v>
      </c>
      <c r="E178" s="27"/>
    </row>
    <row r="179" spans="2:5" s="5" customFormat="1" ht="35.25" customHeight="1" x14ac:dyDescent="0.2">
      <c r="B179" s="134"/>
      <c r="C179" s="113"/>
      <c r="D179" s="137" t="s">
        <v>528</v>
      </c>
      <c r="E179" s="27"/>
    </row>
    <row r="180" spans="2:5" s="5" customFormat="1" ht="35.25" customHeight="1" x14ac:dyDescent="0.2">
      <c r="B180" s="134"/>
      <c r="C180" s="113"/>
      <c r="D180" s="137" t="s">
        <v>529</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526</v>
      </c>
      <c r="E200" s="27"/>
    </row>
    <row r="201" spans="2:5" s="5" customFormat="1" ht="35.25" customHeight="1" x14ac:dyDescent="0.2">
      <c r="B201" s="134"/>
      <c r="C201" s="113"/>
      <c r="D201" s="137" t="s">
        <v>527</v>
      </c>
      <c r="E201" s="27"/>
    </row>
    <row r="202" spans="2:5" s="5" customFormat="1" ht="35.25" customHeight="1" x14ac:dyDescent="0.2">
      <c r="B202" s="134"/>
      <c r="C202" s="113"/>
      <c r="D202" s="137" t="s">
        <v>528</v>
      </c>
      <c r="E202" s="27"/>
    </row>
    <row r="203" spans="2:5" s="5" customFormat="1" ht="35.25" customHeight="1" x14ac:dyDescent="0.2">
      <c r="B203" s="134"/>
      <c r="C203" s="113"/>
      <c r="D203" s="137" t="s">
        <v>529</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