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O45" i="10"/>
  <c r="P39" i="10" s="1"/>
  <c r="N45" i="10"/>
  <c r="M45" i="10"/>
  <c r="AB42" i="10"/>
  <c r="X42" i="10"/>
  <c r="T42" i="10"/>
  <c r="P42" i="10"/>
  <c r="AB41" i="10"/>
  <c r="X41" i="10"/>
  <c r="T41" i="10"/>
  <c r="P41" i="10"/>
  <c r="K41" i="10"/>
  <c r="F41" i="10"/>
  <c r="AB39" i="10"/>
  <c r="X39" i="10"/>
  <c r="T39"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AB16" i="10"/>
  <c r="AA16" i="10"/>
  <c r="X16" i="10"/>
  <c r="W16" i="10"/>
  <c r="W13" i="10" s="1"/>
  <c r="T16" i="10"/>
  <c r="S16" i="10"/>
  <c r="R13" i="10" s="1"/>
  <c r="P16" i="10"/>
  <c r="O16" i="10"/>
  <c r="L16" i="10"/>
  <c r="K16" i="10"/>
  <c r="J16" i="10"/>
  <c r="G16" i="10"/>
  <c r="F16" i="10"/>
  <c r="E16" i="10"/>
  <c r="AB15" i="10"/>
  <c r="AA15" i="10"/>
  <c r="X15" i="10"/>
  <c r="W15" i="10"/>
  <c r="T15" i="10"/>
  <c r="S15" i="10"/>
  <c r="P15" i="10"/>
  <c r="O15" i="10"/>
  <c r="L15" i="10"/>
  <c r="AA13" i="10"/>
  <c r="Z13" i="10"/>
  <c r="Y13" i="10"/>
  <c r="Q13" i="10"/>
  <c r="P12" i="10"/>
  <c r="P45" i="10" s="1"/>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T22" i="4" s="1"/>
  <c r="AS55" i="18"/>
  <c r="AS22" i="4" s="1"/>
  <c r="AC55" i="18"/>
  <c r="AC22" i="4" s="1"/>
  <c r="AB55" i="18"/>
  <c r="AB22" i="4" s="1"/>
  <c r="AA55" i="18"/>
  <c r="AA22" i="4" s="1"/>
  <c r="Z55" i="18"/>
  <c r="Y55" i="18"/>
  <c r="Y22" i="4" s="1"/>
  <c r="X55" i="18"/>
  <c r="X22" i="4" s="1"/>
  <c r="W55" i="18"/>
  <c r="V55" i="18"/>
  <c r="V22" i="4" s="1"/>
  <c r="U55" i="18"/>
  <c r="U22" i="4" s="1"/>
  <c r="T55" i="18"/>
  <c r="T22" i="4" s="1"/>
  <c r="S55" i="18"/>
  <c r="S22" i="4" s="1"/>
  <c r="R55" i="18"/>
  <c r="R22" i="4" s="1"/>
  <c r="Q55" i="18"/>
  <c r="P55" i="18"/>
  <c r="P22" i="4" s="1"/>
  <c r="O55" i="18"/>
  <c r="O22" i="4" s="1"/>
  <c r="N55" i="18"/>
  <c r="N22" i="4" s="1"/>
  <c r="M55" i="18"/>
  <c r="L55" i="18"/>
  <c r="L22" i="4" s="1"/>
  <c r="K55" i="18"/>
  <c r="K22" i="4" s="1"/>
  <c r="J55" i="18"/>
  <c r="J22" i="4" s="1"/>
  <c r="I55" i="18"/>
  <c r="I22" i="4" s="1"/>
  <c r="H55" i="18"/>
  <c r="H22" i="4" s="1"/>
  <c r="G55" i="18"/>
  <c r="G22" i="4" s="1"/>
  <c r="F55" i="18"/>
  <c r="F22" i="4" s="1"/>
  <c r="E55" i="18"/>
  <c r="E22" i="4" s="1"/>
  <c r="D55" i="18"/>
  <c r="D22" i="4" s="1"/>
  <c r="AU54" i="18"/>
  <c r="AU12" i="4" s="1"/>
  <c r="AT54" i="18"/>
  <c r="AT12" i="4" s="1"/>
  <c r="AS54" i="18"/>
  <c r="AS12" i="4" s="1"/>
  <c r="AC54" i="18"/>
  <c r="AC12" i="4" s="1"/>
  <c r="AB54" i="18"/>
  <c r="AB12" i="4" s="1"/>
  <c r="AA54" i="18"/>
  <c r="AA12" i="4" s="1"/>
  <c r="Z54" i="18"/>
  <c r="Z12" i="4" s="1"/>
  <c r="Y54" i="18"/>
  <c r="Y12" i="4" s="1"/>
  <c r="X54" i="18"/>
  <c r="X12" i="4" s="1"/>
  <c r="W54" i="18"/>
  <c r="W12" i="4" s="1"/>
  <c r="V54" i="18"/>
  <c r="V12" i="4" s="1"/>
  <c r="U54" i="18"/>
  <c r="U12" i="4" s="1"/>
  <c r="T54" i="18"/>
  <c r="T12" i="4" s="1"/>
  <c r="S54" i="18"/>
  <c r="S12" i="4" s="1"/>
  <c r="R54" i="18"/>
  <c r="R12" i="4" s="1"/>
  <c r="Q54" i="18"/>
  <c r="Q12" i="4" s="1"/>
  <c r="P54" i="18"/>
  <c r="P12" i="4" s="1"/>
  <c r="O54" i="18"/>
  <c r="O12" i="4" s="1"/>
  <c r="N54" i="18"/>
  <c r="N12" i="4" s="1"/>
  <c r="M54" i="18"/>
  <c r="M12" i="4" s="1"/>
  <c r="L54" i="18"/>
  <c r="L12" i="4" s="1"/>
  <c r="K54" i="18"/>
  <c r="K12" i="4" s="1"/>
  <c r="J54" i="18"/>
  <c r="J12" i="4" s="1"/>
  <c r="I54" i="18"/>
  <c r="I12" i="4" s="1"/>
  <c r="H54" i="18"/>
  <c r="H12" i="4" s="1"/>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Z22" i="4"/>
  <c r="W22" i="4"/>
  <c r="Q22" i="4"/>
  <c r="M22" i="4"/>
  <c r="AU5" i="4"/>
  <c r="AT5" i="4"/>
  <c r="AS5" i="4"/>
  <c r="AC5" i="4"/>
  <c r="AB5" i="4"/>
  <c r="AA5" i="4"/>
  <c r="Z5" i="4"/>
  <c r="Y5" i="4"/>
  <c r="X5" i="4"/>
  <c r="W5" i="4"/>
  <c r="V5" i="4"/>
  <c r="U5" i="4"/>
  <c r="T5" i="4"/>
  <c r="S5" i="4"/>
  <c r="R5" i="4"/>
  <c r="Q5" i="4"/>
  <c r="P5" i="4"/>
  <c r="O5" i="4"/>
  <c r="N5" i="4"/>
  <c r="M5" i="4"/>
  <c r="L5" i="4"/>
  <c r="K5" i="4"/>
  <c r="J5" i="4"/>
  <c r="I5" i="4"/>
  <c r="G15" i="10" s="1"/>
  <c r="H5" i="4"/>
  <c r="G5" i="4"/>
  <c r="F5" i="4"/>
  <c r="E5" i="4"/>
  <c r="D5" i="4"/>
  <c r="E15" i="10" l="1"/>
  <c r="J7" i="10"/>
  <c r="K7" i="10" s="1"/>
  <c r="L30" i="10"/>
  <c r="L31" i="10" s="1"/>
  <c r="L29" i="10" s="1"/>
  <c r="L33" i="10" s="1"/>
  <c r="L34" i="10" s="1"/>
  <c r="G7" i="10"/>
  <c r="G27" i="10" s="1"/>
  <c r="E7" i="10"/>
  <c r="J15" i="10"/>
  <c r="F15" i="10"/>
  <c r="P47" i="10"/>
  <c r="P48" i="10" s="1"/>
  <c r="P51" i="10" s="1"/>
  <c r="P53" i="10" s="1"/>
  <c r="E11" i="16" s="1"/>
  <c r="G23" i="10"/>
  <c r="G20" i="10"/>
  <c r="L21" i="10"/>
  <c r="L26" i="10" s="1"/>
  <c r="L25" i="10" s="1"/>
  <c r="L28" i="10" s="1"/>
  <c r="AB13" i="10"/>
  <c r="T13" i="10"/>
  <c r="U13" i="10"/>
  <c r="V13" i="10"/>
  <c r="X13" i="10"/>
  <c r="S13" i="10"/>
  <c r="G19" i="10" l="1"/>
  <c r="G24" i="10"/>
  <c r="G32" i="10"/>
  <c r="F7" i="10"/>
  <c r="D17" i="10" s="1"/>
  <c r="E38" i="10"/>
  <c r="K15" i="10"/>
  <c r="J17" i="10" s="1"/>
  <c r="G22" i="10"/>
  <c r="J12" i="10" l="1"/>
  <c r="F38" i="10"/>
  <c r="F17" i="10"/>
  <c r="E17" i="10"/>
  <c r="C12" i="10"/>
  <c r="E12" i="10"/>
  <c r="D12" i="10"/>
  <c r="D45" i="10" s="1"/>
  <c r="K17" i="10"/>
  <c r="I17" i="10"/>
  <c r="I12" i="10"/>
  <c r="J38" i="10"/>
  <c r="H12" i="10"/>
  <c r="C17" i="10"/>
  <c r="H17" i="10"/>
  <c r="G30" i="10"/>
  <c r="G31" i="10" s="1"/>
  <c r="G29" i="10" s="1"/>
  <c r="G33" i="10" s="1"/>
  <c r="G34" i="10" s="1"/>
  <c r="G21" i="10"/>
  <c r="G26" i="10" s="1"/>
  <c r="G25" i="10" s="1"/>
  <c r="G28" i="10" s="1"/>
  <c r="H45" i="10" l="1"/>
  <c r="E45" i="10"/>
  <c r="C45" i="10"/>
  <c r="F39" i="10" s="1"/>
  <c r="F12" i="10"/>
  <c r="F45" i="10" s="1"/>
  <c r="I45" i="10"/>
  <c r="F52" i="10"/>
  <c r="F42" i="10"/>
  <c r="J45" i="10"/>
  <c r="K38" i="10"/>
  <c r="K12" i="10"/>
  <c r="F47" i="10" l="1"/>
  <c r="F48" i="10" s="1"/>
  <c r="F51" i="10" s="1"/>
  <c r="F53" i="10" s="1"/>
  <c r="C11" i="16" s="1"/>
  <c r="K45" i="10"/>
  <c r="K52" i="10"/>
  <c r="K42" i="10"/>
  <c r="K47" i="10" s="1"/>
  <c r="K48" i="10" s="1"/>
  <c r="K51" i="10" s="1"/>
  <c r="K53" i="10" s="1"/>
  <c r="D11" i="16" s="1"/>
  <c r="K39" i="10"/>
</calcChain>
</file>

<file path=xl/sharedStrings.xml><?xml version="1.0" encoding="utf-8"?>
<sst xmlns="http://schemas.openxmlformats.org/spreadsheetml/2006/main" count="575" uniqueCount="514">
  <si>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</si>
  <si>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</si>
  <si>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</si>
  <si>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</si>
  <si>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</si>
  <si>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</si>
  <si>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</si>
  <si>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</si>
  <si>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</si>
  <si>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</si>
  <si>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</si>
  <si>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</si>
  <si>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</si>
  <si>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</si>
  <si>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</si>
  <si>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</si>
  <si>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</si>
  <si>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</si>
  <si>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</si>
  <si>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</si>
  <si>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</si>
  <si>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</si>
  <si>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</si>
  <si>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</si>
  <si>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</si>
  <si>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</si>
  <si>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</si>
  <si>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</si>
  <si>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</si>
  <si>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</si>
  <si>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</si>
  <si>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</si>
  <si>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</si>
  <si>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</si>
  <si>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</si>
  <si>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</si>
  <si>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</si>
  <si>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</si>
  <si>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</si>
  <si>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</si>
  <si>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</si>
  <si>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</si>
  <si>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</si>
  <si>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</si>
  <si>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</si>
  <si>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</si>
  <si>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</si>
  <si>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</si>
  <si>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</si>
  <si>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</si>
  <si>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</si>
  <si>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</si>
  <si>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</si>
  <si>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</si>
  <si>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</si>
  <si>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</si>
  <si>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</si>
  <si>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</si>
  <si>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</si>
  <si>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</si>
  <si>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</si>
  <si>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</si>
  <si>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</si>
  <si>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</si>
  <si>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</si>
  <si>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</si>
  <si>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</si>
  <si>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</si>
  <si>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</si>
  <si>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</si>
  <si>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</si>
  <si>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</si>
  <si>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</si>
  <si>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</si>
  <si>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</si>
  <si>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</si>
  <si>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</si>
  <si>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</si>
  <si>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</si>
  <si>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</si>
  <si>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</si>
  <si>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</si>
  <si>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</si>
  <si>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</si>
  <si>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</si>
  <si>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</si>
  <si>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</si>
  <si>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</si>
  <si>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</si>
  <si>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</si>
  <si>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</si>
  <si>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</si>
  <si>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</si>
  <si>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</si>
  <si>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</si>
  <si>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</si>
  <si>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</si>
  <si>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</si>
  <si>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</si>
  <si>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</si>
  <si>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</si>
  <si>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</si>
  <si>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</si>
  <si>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</si>
  <si>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</si>
  <si>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</si>
  <si>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</si>
  <si>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</si>
  <si>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</si>
  <si>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</si>
  <si>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</si>
  <si>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</si>
  <si>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</si>
  <si>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</si>
  <si>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</si>
  <si>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</si>
  <si>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</si>
  <si>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</si>
  <si>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</si>
  <si>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</si>
  <si>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</si>
  <si>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</si>
  <si>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</si>
  <si>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</si>
  <si>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</si>
  <si>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</si>
  <si>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</si>
  <si>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</si>
  <si>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</si>
  <si>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</si>
  <si>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</si>
  <si>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</si>
  <si>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</si>
  <si>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</si>
  <si>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</si>
  <si>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</si>
  <si>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</si>
  <si>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</si>
  <si>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</si>
  <si>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</si>
  <si>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</si>
  <si>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</si>
  <si>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</si>
  <si>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</si>
  <si>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</si>
  <si>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</si>
  <si>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</si>
  <si>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</si>
  <si>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</si>
  <si>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</si>
  <si>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</si>
  <si>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</si>
  <si>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</si>
  <si>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</si>
  <si>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</si>
  <si>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</si>
  <si>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</si>
  <si>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</si>
  <si>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</si>
  <si>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</si>
  <si>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</si>
  <si>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</si>
  <si>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</si>
  <si>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</si>
  <si>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</si>
  <si>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</si>
  <si>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</si>
  <si>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</si>
  <si>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</si>
  <si>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</si>
  <si>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</si>
  <si>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</si>
  <si>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</si>
  <si>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</si>
  <si>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</si>
  <si>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</si>
  <si>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</si>
  <si>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</si>
  <si>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</si>
  <si>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</si>
  <si>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</si>
  <si>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</si>
  <si>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</si>
  <si>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</si>
  <si>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</si>
  <si>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</si>
  <si>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</si>
  <si>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</si>
  <si>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</si>
  <si>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</si>
  <si>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</si>
  <si>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</si>
  <si>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</si>
  <si>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</si>
  <si>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</si>
  <si>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</si>
  <si>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</si>
  <si>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</si>
  <si>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</si>
  <si>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</si>
  <si>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</si>
  <si>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</si>
  <si>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</si>
  <si>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</si>
  <si>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</si>
  <si>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</si>
  <si>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</si>
  <si>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</si>
  <si>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</si>
  <si>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</si>
  <si>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</si>
  <si>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</si>
  <si>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</si>
  <si>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</si>
  <si>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</si>
  <si>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</si>
  <si>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</si>
  <si>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</si>
  <si>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</si>
  <si>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</si>
  <si>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</si>
  <si>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</si>
  <si>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</si>
  <si>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</si>
  <si>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</si>
  <si>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</si>
  <si>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</si>
  <si>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</si>
  <si>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</si>
  <si>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</si>
  <si>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</si>
  <si>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</si>
  <si>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</si>
  <si>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</si>
  <si>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</si>
  <si>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</si>
  <si>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</si>
  <si>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</si>
  <si>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</si>
  <si>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</si>
  <si>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</si>
  <si>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</si>
  <si>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</si>
  <si>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</si>
  <si>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</si>
  <si>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</si>
  <si>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</si>
  <si>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</si>
  <si>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</si>
  <si>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</si>
  <si>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</si>
  <si>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</si>
  <si>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</si>
  <si>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</si>
  <si>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</si>
  <si>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</si>
  <si>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</si>
  <si>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</si>
  <si>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</si>
  <si>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</si>
  <si>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</si>
  <si>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</si>
  <si>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</si>
  <si>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</si>
  <si>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</si>
  <si>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</si>
  <si>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</si>
  <si>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</si>
  <si>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</si>
  <si>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</si>
  <si>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</si>
  <si>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</si>
  <si>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</si>
  <si>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</si>
  <si>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</si>
  <si>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</si>
  <si>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</si>
  <si>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</si>
  <si>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</si>
  <si>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</si>
  <si>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</si>
  <si>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</si>
  <si>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</si>
  <si>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</si>
  <si>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</si>
  <si>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</si>
  <si>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</si>
  <si>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</si>
  <si>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</si>
  <si>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</si>
  <si>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</si>
  <si>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</si>
  <si>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</si>
  <si>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</si>
  <si>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</si>
  <si>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</si>
  <si>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</si>
  <si>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</si>
  <si>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</si>
  <si>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</si>
  <si>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</si>
  <si>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</si>
  <si>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</si>
  <si>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</si>
  <si>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</si>
  <si>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</si>
  <si>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</si>
  <si>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</si>
  <si>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</si>
  <si>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</si>
  <si>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</si>
  <si>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</si>
  <si>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</si>
  <si>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</si>
  <si>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</si>
  <si>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</si>
  <si>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</si>
  <si>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</si>
  <si>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</si>
  <si>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</si>
  <si>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</si>
  <si>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</si>
  <si>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</si>
  <si>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</si>
  <si>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</si>
  <si>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</si>
  <si>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</si>
  <si>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</si>
  <si>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</si>
  <si>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</si>
  <si>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</si>
  <si>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</si>
  <si>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</si>
  <si>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</si>
  <si>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</si>
  <si>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</si>
  <si>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</si>
  <si>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</si>
  <si>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</si>
  <si>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</si>
  <si>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</si>
  <si>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</si>
  <si>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</si>
  <si>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</si>
  <si>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</si>
  <si>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</si>
  <si>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</si>
  <si>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</si>
  <si>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</si>
  <si>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</si>
  <si>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</si>
  <si>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</si>
  <si>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</si>
  <si>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</si>
  <si>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</si>
  <si>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</si>
  <si>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</si>
  <si>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</si>
  <si>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</si>
  <si>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</si>
  <si>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</si>
  <si>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</si>
  <si>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</si>
  <si>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</si>
  <si>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</si>
  <si>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</si>
  <si>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</si>
  <si>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</si>
  <si>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</si>
  <si>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</si>
  <si>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</si>
  <si>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</si>
  <si>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</si>
  <si>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</si>
  <si>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</si>
  <si>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</si>
  <si>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</si>
  <si>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</si>
  <si>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</si>
  <si>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</si>
  <si>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</si>
  <si>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</si>
  <si>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</si>
  <si>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</si>
  <si>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</si>
  <si>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</si>
  <si>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</si>
  <si>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</si>
  <si>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</si>
  <si>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</si>
  <si>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</si>
  <si>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</si>
  <si>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</si>
  <si>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</si>
  <si>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</si>
  <si>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</si>
  <si>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</si>
  <si>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</si>
  <si>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</si>
  <si>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</si>
  <si>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</si>
  <si>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</si>
  <si>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</si>
  <si>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</si>
  <si>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</si>
  <si>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</si>
  <si>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</si>
  <si>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</si>
  <si>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</si>
  <si>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</si>
  <si>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</si>
  <si>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</si>
  <si>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</si>
  <si>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</si>
  <si>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</si>
  <si>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</si>
  <si>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</si>
  <si>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</si>
  <si>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</si>
  <si>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</si>
  <si>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</si>
  <si>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</si>
  <si>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</si>
  <si>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</si>
  <si>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</si>
  <si>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</si>
  <si>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</si>
  <si>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</si>
  <si>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</si>
  <si>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</si>
  <si>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</si>
  <si>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</si>
  <si>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</si>
  <si>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</si>
  <si>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</si>
  <si>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</si>
  <si>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</si>
  <si>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</si>
  <si>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</si>
  <si>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</si>
  <si>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</si>
  <si>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</si>
  <si>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</si>
  <si>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</si>
  <si>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</si>
  <si>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</si>
  <si>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</si>
  <si>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</si>
  <si>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</si>
  <si>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</si>
  <si>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</si>
  <si>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</si>
  <si>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</si>
  <si>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</si>
  <si>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</si>
  <si>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</si>
  <si>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</si>
  <si>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</si>
  <si>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</si>
  <si>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</si>
  <si>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</si>
  <si>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</si>
  <si>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</si>
  <si>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</si>
  <si>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</si>
  <si>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</si>
  <si>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</si>
  <si>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</si>
  <si>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</si>
  <si>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</si>
  <si>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</si>
  <si>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</si>
  <si>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</si>
  <si>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</si>
  <si>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</si>
  <si>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</si>
  <si>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</si>
  <si>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</si>
  <si>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</si>
  <si>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</si>
  <si>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</si>
  <si>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</si>
  <si>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</si>
  <si>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</si>
  <si>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</si>
  <si>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</si>
  <si>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</si>
  <si>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</si>
  <si>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</si>
  <si>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</si>
  <si>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</si>
  <si>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</si>
  <si>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</si>
  <si>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</si>
  <si>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</si>
  <si>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</si>
  <si>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Humana Medical Plan, Inc. </t>
  </si>
  <si>
    <t>HUMANA GRP</t>
  </si>
  <si>
    <t>Humana</t>
  </si>
  <si>
    <t>119</t>
  </si>
  <si>
    <t>2015</t>
  </si>
  <si>
    <t>3501 SW 160th Avenue Miramar, FL 33027</t>
  </si>
  <si>
    <t>611103898</t>
  </si>
  <si>
    <t>095270</t>
  </si>
  <si>
    <t>95270</t>
  </si>
  <si>
    <t>35783</t>
  </si>
  <si>
    <t>220</t>
  </si>
  <si>
    <t>Humana Insurance Company</t>
  </si>
  <si>
    <t>Humana Wisconsin Health Organization Insurance Corporation</t>
  </si>
  <si>
    <t>Humana Employers Health Plan of Georgia, Inc.</t>
  </si>
  <si>
    <t>Humana Health Insurance Company of Florida, Inc.</t>
  </si>
  <si>
    <t>Humana Health Plan, Inc.</t>
  </si>
  <si>
    <t>Humana Health Plan of Texas, Inc.</t>
  </si>
  <si>
    <t>Humana Insurance of Puerto Rico,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</si>
</sst>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145</v>
      </c>
    </row>
    <row r="13" spans="1:6" x14ac:dyDescent="0.2">
      <c r="B13" s="147" t="s">
        <v>50</v>
      </c>
      <c r="C13" s="480" t="s">
        <v>145</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1035164296</v>
      </c>
      <c r="E5" s="213">
        <f>SUM('Pt 2 Premium and Claims'!E$5,'Pt 2 Premium and Claims'!E$6,-'Pt 2 Premium and Claims'!E$7,-'Pt 2 Premium and Claims'!E$13,'Pt 2 Premium and Claims'!E$14:'Pt 2 Premium and Claims'!E$17)</f>
        <v>1190452779.7598102</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1190444074</v>
      </c>
      <c r="J5" s="212">
        <f>SUM('Pt 2 Premium and Claims'!J$5,'Pt 2 Premium and Claims'!J$6,-'Pt 2 Premium and Claims'!J$7,-'Pt 2 Premium and Claims'!J$13,'Pt 2 Premium and Claims'!J$14,'Pt 2 Premium and Claims'!J$16:'Pt 2 Premium and Claims'!J$17)</f>
        <v>335911413</v>
      </c>
      <c r="K5" s="213">
        <f>SUM('Pt 2 Premium and Claims'!K$5,'Pt 2 Premium and Claims'!K$6,-'Pt 2 Premium and Claims'!K$7,-'Pt 2 Premium and Claims'!K$13,'Pt 2 Premium and Claims'!K$14,'Pt 2 Premium and Claims'!K$16:'Pt 2 Premium and Claims'!K$17)</f>
        <v>326454784.40877509</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526027283</v>
      </c>
      <c r="Q5" s="213">
        <f>SUM('Pt 2 Premium and Claims'!Q$5,'Pt 2 Premium and Claims'!Q$6,-'Pt 2 Premium and Claims'!Q$7,-'Pt 2 Premium and Claims'!Q$13,'Pt 2 Premium and Claims'!Q$14)</f>
        <v>529011455.82987517</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1194466642</v>
      </c>
      <c r="AT5" s="214">
        <f>SUM('Pt 2 Premium and Claims'!AT$5,'Pt 2 Premium and Claims'!AT$6,-'Pt 2 Premium and Claims'!AT$7,-'Pt 2 Premium and Claims'!AT$13,'Pt 2 Premium and Claims'!AT$14)</f>
        <v>-343</v>
      </c>
      <c r="AU5" s="214">
        <f>SUM('Pt 2 Premium and Claims'!AU$5,'Pt 2 Premium and Claims'!AU$6,-'Pt 2 Premium and Claims'!AU$7,-'Pt 2 Premium and Claims'!AU$13,'Pt 2 Premium and Claims'!AU$14)</f>
        <v>5767507345</v>
      </c>
      <c r="AV5" s="215"/>
      <c r="AW5" s="296"/>
    </row>
    <row r="6" spans="1:49" x14ac:dyDescent="0.2">
      <c r="B6" s="239" t="s">
        <v>223</v>
      </c>
      <c r="C6" s="203" t="s">
        <v>12</v>
      </c>
      <c r="D6" s="216">
        <v>0</v>
      </c>
      <c r="E6" s="217"/>
      <c r="F6" s="217"/>
      <c r="G6" s="218"/>
      <c r="H6" s="218"/>
      <c r="I6" s="219">
        <v>0</v>
      </c>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2</v>
      </c>
      <c r="E7" s="217">
        <v>2.14</v>
      </c>
      <c r="F7" s="217"/>
      <c r="G7" s="217"/>
      <c r="H7" s="217"/>
      <c r="I7" s="216">
        <v>0</v>
      </c>
      <c r="J7" s="216">
        <v>20976</v>
      </c>
      <c r="K7" s="217">
        <v>20975.89</v>
      </c>
      <c r="L7" s="217"/>
      <c r="M7" s="217"/>
      <c r="N7" s="217"/>
      <c r="O7" s="216"/>
      <c r="P7" s="216">
        <v>63966</v>
      </c>
      <c r="Q7" s="217">
        <v>63966.01</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-11266166</v>
      </c>
      <c r="E8" s="268"/>
      <c r="F8" s="269"/>
      <c r="G8" s="269"/>
      <c r="H8" s="269"/>
      <c r="I8" s="272"/>
      <c r="J8" s="216">
        <v>-530421</v>
      </c>
      <c r="K8" s="268"/>
      <c r="L8" s="269"/>
      <c r="M8" s="269"/>
      <c r="N8" s="269"/>
      <c r="O8" s="272"/>
      <c r="P8" s="216">
        <v>-661433</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972769436</v>
      </c>
      <c r="E12" s="213">
        <f>'Pt 2 Premium and Claims'!E$54</f>
        <v>1144224613.9529998</v>
      </c>
      <c r="F12" s="213">
        <f>'Pt 2 Premium and Claims'!F$54</f>
        <v>0</v>
      </c>
      <c r="G12" s="213">
        <f>'Pt 2 Premium and Claims'!G$54</f>
        <v>0</v>
      </c>
      <c r="H12" s="213">
        <f>'Pt 2 Premium and Claims'!H$54</f>
        <v>0</v>
      </c>
      <c r="I12" s="212">
        <f>'Pt 2 Premium and Claims'!I$54</f>
        <v>1148694576</v>
      </c>
      <c r="J12" s="212">
        <f>'Pt 2 Premium and Claims'!J$54</f>
        <v>264982841</v>
      </c>
      <c r="K12" s="213">
        <f>'Pt 2 Premium and Claims'!K$54</f>
        <v>253406296.70860243</v>
      </c>
      <c r="L12" s="213">
        <f>'Pt 2 Premium and Claims'!L$54</f>
        <v>0</v>
      </c>
      <c r="M12" s="213">
        <f>'Pt 2 Premium and Claims'!M$54</f>
        <v>0</v>
      </c>
      <c r="N12" s="213">
        <f>'Pt 2 Premium and Claims'!N$54</f>
        <v>0</v>
      </c>
      <c r="O12" s="212">
        <f>'Pt 2 Premium and Claims'!O$54</f>
        <v>0</v>
      </c>
      <c r="P12" s="212">
        <f>'Pt 2 Premium and Claims'!P$54</f>
        <v>463421170</v>
      </c>
      <c r="Q12" s="213">
        <f>'Pt 2 Premium and Claims'!Q$54</f>
        <v>461230859.54108137</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1076641858</v>
      </c>
      <c r="AT12" s="214">
        <f>'Pt 2 Premium and Claims'!AT$54</f>
        <v>0</v>
      </c>
      <c r="AU12" s="214">
        <f>'Pt 2 Premium and Claims'!AU$54</f>
        <v>4565552289</v>
      </c>
      <c r="AV12" s="291"/>
      <c r="AW12" s="296"/>
    </row>
    <row r="13" spans="1:49" ht="25.5" x14ac:dyDescent="0.2">
      <c r="B13" s="239" t="s">
        <v>230</v>
      </c>
      <c r="C13" s="203" t="s">
        <v>37</v>
      </c>
      <c r="D13" s="216">
        <v>124805642</v>
      </c>
      <c r="E13" s="217">
        <v>138454043.94999999</v>
      </c>
      <c r="F13" s="217"/>
      <c r="G13" s="268"/>
      <c r="H13" s="269"/>
      <c r="I13" s="216">
        <v>138453587</v>
      </c>
      <c r="J13" s="216">
        <v>60104186</v>
      </c>
      <c r="K13" s="217">
        <v>59558216.350136109</v>
      </c>
      <c r="L13" s="217"/>
      <c r="M13" s="268"/>
      <c r="N13" s="269"/>
      <c r="O13" s="216"/>
      <c r="P13" s="216">
        <v>88921375</v>
      </c>
      <c r="Q13" s="217">
        <v>89910098.139433548</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224109103</v>
      </c>
      <c r="AT13" s="220">
        <v>0</v>
      </c>
      <c r="AU13" s="220">
        <v>644316768</v>
      </c>
      <c r="AV13" s="290"/>
      <c r="AW13" s="297"/>
    </row>
    <row r="14" spans="1:49" ht="25.5" x14ac:dyDescent="0.2">
      <c r="B14" s="239" t="s">
        <v>231</v>
      </c>
      <c r="C14" s="203" t="s">
        <v>6</v>
      </c>
      <c r="D14" s="216">
        <v>18166260</v>
      </c>
      <c r="E14" s="217">
        <v>17853606.260000002</v>
      </c>
      <c r="F14" s="217"/>
      <c r="G14" s="267"/>
      <c r="H14" s="270"/>
      <c r="I14" s="216">
        <v>17853542</v>
      </c>
      <c r="J14" s="216">
        <v>8393841</v>
      </c>
      <c r="K14" s="217">
        <v>8323199.7231453555</v>
      </c>
      <c r="L14" s="217"/>
      <c r="M14" s="267"/>
      <c r="N14" s="270"/>
      <c r="O14" s="216"/>
      <c r="P14" s="216">
        <v>11083121</v>
      </c>
      <c r="Q14" s="217">
        <v>11240052.796458324</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22984</v>
      </c>
      <c r="AT14" s="220">
        <v>0</v>
      </c>
      <c r="AU14" s="220">
        <v>180652930</v>
      </c>
      <c r="AV14" s="290"/>
      <c r="AW14" s="297"/>
    </row>
    <row r="15" spans="1:49" ht="38.25" x14ac:dyDescent="0.2">
      <c r="B15" s="239" t="s">
        <v>232</v>
      </c>
      <c r="C15" s="203" t="s">
        <v>7</v>
      </c>
      <c r="D15" s="216">
        <v>6592</v>
      </c>
      <c r="E15" s="217">
        <v>6591.56</v>
      </c>
      <c r="F15" s="217"/>
      <c r="G15" s="267"/>
      <c r="H15" s="273"/>
      <c r="I15" s="216">
        <v>6591</v>
      </c>
      <c r="J15" s="216">
        <v>2113</v>
      </c>
      <c r="K15" s="217">
        <v>2068.28206768367</v>
      </c>
      <c r="L15" s="217"/>
      <c r="M15" s="267"/>
      <c r="N15" s="273"/>
      <c r="O15" s="216"/>
      <c r="P15" s="216">
        <v>3071</v>
      </c>
      <c r="Q15" s="217">
        <v>3116.21793231633</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7226</v>
      </c>
      <c r="AT15" s="220">
        <v>0</v>
      </c>
      <c r="AU15" s="220">
        <v>36516</v>
      </c>
      <c r="AV15" s="290"/>
      <c r="AW15" s="297"/>
    </row>
    <row r="16" spans="1:49" ht="25.5" x14ac:dyDescent="0.2">
      <c r="B16" s="239" t="s">
        <v>233</v>
      </c>
      <c r="C16" s="203" t="s">
        <v>61</v>
      </c>
      <c r="D16" s="216">
        <v>-142542854</v>
      </c>
      <c r="E16" s="268"/>
      <c r="F16" s="269"/>
      <c r="G16" s="270"/>
      <c r="H16" s="270"/>
      <c r="I16" s="272"/>
      <c r="J16" s="216">
        <v>-2940276</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-25000</v>
      </c>
      <c r="E17" s="267"/>
      <c r="F17" s="270"/>
      <c r="G17" s="270"/>
      <c r="H17" s="270"/>
      <c r="I17" s="271"/>
      <c r="J17" s="216">
        <v>0</v>
      </c>
      <c r="K17" s="267"/>
      <c r="L17" s="270"/>
      <c r="M17" s="270"/>
      <c r="N17" s="270"/>
      <c r="O17" s="271"/>
      <c r="P17" s="216">
        <v>-19134000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932037</v>
      </c>
      <c r="E22" s="222">
        <f>'Pt 2 Premium and Claims'!E$55</f>
        <v>932037.37</v>
      </c>
      <c r="F22" s="222">
        <f>'Pt 2 Premium and Claims'!F$55</f>
        <v>0</v>
      </c>
      <c r="G22" s="222">
        <f>'Pt 2 Premium and Claims'!G$55</f>
        <v>0</v>
      </c>
      <c r="H22" s="222">
        <f>'Pt 2 Premium and Claims'!H$55</f>
        <v>0</v>
      </c>
      <c r="I22" s="221">
        <f>'Pt 2 Premium and Claims'!I$55</f>
        <v>914934</v>
      </c>
      <c r="J22" s="221">
        <f>'Pt 2 Premium and Claims'!J$55</f>
        <v>449988</v>
      </c>
      <c r="K22" s="222">
        <f>'Pt 2 Premium and Claims'!K$55</f>
        <v>449987.5</v>
      </c>
      <c r="L22" s="222">
        <f>'Pt 2 Premium and Claims'!L$55</f>
        <v>0</v>
      </c>
      <c r="M22" s="222">
        <f>'Pt 2 Premium and Claims'!M$55</f>
        <v>0</v>
      </c>
      <c r="N22" s="222">
        <f>'Pt 2 Premium and Claims'!N$55</f>
        <v>0</v>
      </c>
      <c r="O22" s="221">
        <f>'Pt 2 Premium and Claims'!O$55</f>
        <v>0</v>
      </c>
      <c r="P22" s="221">
        <f>'Pt 2 Premium and Claims'!P$55</f>
        <v>700758.6</v>
      </c>
      <c r="Q22" s="222">
        <f>'Pt 2 Premium and Claims'!Q$55</f>
        <v>710948.05365100701</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-5912565.7999999998</v>
      </c>
      <c r="E25" s="217">
        <v>-5912540.1056959052</v>
      </c>
      <c r="F25" s="217"/>
      <c r="G25" s="217"/>
      <c r="H25" s="217"/>
      <c r="I25" s="216">
        <v>-15023106</v>
      </c>
      <c r="J25" s="216">
        <v>7052113.5499999998</v>
      </c>
      <c r="K25" s="217">
        <v>5817817.2985737072</v>
      </c>
      <c r="L25" s="217"/>
      <c r="M25" s="217"/>
      <c r="N25" s="217"/>
      <c r="O25" s="216"/>
      <c r="P25" s="216">
        <v>2331896.38</v>
      </c>
      <c r="Q25" s="217">
        <v>3566154.4147789581</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-18381324.370000001</v>
      </c>
      <c r="AT25" s="220">
        <v>-150.53</v>
      </c>
      <c r="AU25" s="220">
        <v>234266015.44</v>
      </c>
      <c r="AV25" s="220"/>
      <c r="AW25" s="297"/>
    </row>
    <row r="26" spans="1:49" s="5" customFormat="1" x14ac:dyDescent="0.2">
      <c r="A26" s="35"/>
      <c r="B26" s="242" t="s">
        <v>242</v>
      </c>
      <c r="C26" s="203"/>
      <c r="D26" s="216">
        <v>451104.91</v>
      </c>
      <c r="E26" s="217">
        <v>451104.91</v>
      </c>
      <c r="F26" s="217"/>
      <c r="G26" s="217"/>
      <c r="H26" s="217"/>
      <c r="I26" s="216">
        <v>444776</v>
      </c>
      <c r="J26" s="216">
        <v>133800.15</v>
      </c>
      <c r="K26" s="217">
        <v>130694.50171298483</v>
      </c>
      <c r="L26" s="217"/>
      <c r="M26" s="217"/>
      <c r="N26" s="217"/>
      <c r="O26" s="216"/>
      <c r="P26" s="216">
        <v>223531.51</v>
      </c>
      <c r="Q26" s="217">
        <v>226637.15828701516</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18493940.579999998</v>
      </c>
      <c r="E27" s="217">
        <v>18493940.579999998</v>
      </c>
      <c r="F27" s="217"/>
      <c r="G27" s="217"/>
      <c r="H27" s="217"/>
      <c r="I27" s="216">
        <v>18493654</v>
      </c>
      <c r="J27" s="216">
        <v>5929512.0300000003</v>
      </c>
      <c r="K27" s="217">
        <v>5803644.8660973869</v>
      </c>
      <c r="L27" s="217"/>
      <c r="M27" s="217"/>
      <c r="N27" s="217"/>
      <c r="O27" s="216"/>
      <c r="P27" s="216">
        <v>8539035.7699999996</v>
      </c>
      <c r="Q27" s="217">
        <v>8664902.9339026138</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18338208.59</v>
      </c>
      <c r="AT27" s="220"/>
      <c r="AU27" s="220">
        <v>96769389.230000004</v>
      </c>
      <c r="AV27" s="293"/>
      <c r="AW27" s="297"/>
    </row>
    <row r="28" spans="1:49" s="5" customFormat="1" x14ac:dyDescent="0.2">
      <c r="A28" s="35"/>
      <c r="B28" s="242" t="s">
        <v>244</v>
      </c>
      <c r="C28" s="203"/>
      <c r="D28" s="216">
        <v>2897057.88</v>
      </c>
      <c r="E28" s="217">
        <v>2897057.88</v>
      </c>
      <c r="F28" s="217"/>
      <c r="G28" s="217"/>
      <c r="H28" s="217"/>
      <c r="I28" s="216">
        <v>2896953</v>
      </c>
      <c r="J28" s="216">
        <v>529366.12</v>
      </c>
      <c r="K28" s="217">
        <v>523797.22109834448</v>
      </c>
      <c r="L28" s="217"/>
      <c r="M28" s="217"/>
      <c r="N28" s="217"/>
      <c r="O28" s="216"/>
      <c r="P28" s="216">
        <v>307018.52</v>
      </c>
      <c r="Q28" s="217">
        <v>312587.41890165553</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2936331.11</v>
      </c>
      <c r="AT28" s="220">
        <v>-0.08</v>
      </c>
      <c r="AU28" s="220">
        <v>8247099.2699999996</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-78767.740000000005</v>
      </c>
      <c r="E30" s="217">
        <v>-78765.831442380193</v>
      </c>
      <c r="F30" s="217"/>
      <c r="G30" s="217"/>
      <c r="H30" s="217"/>
      <c r="I30" s="216">
        <v>-755512</v>
      </c>
      <c r="J30" s="216">
        <v>592301.23</v>
      </c>
      <c r="K30" s="217">
        <v>499808.71496642596</v>
      </c>
      <c r="L30" s="217"/>
      <c r="M30" s="217"/>
      <c r="N30" s="217"/>
      <c r="O30" s="216"/>
      <c r="P30" s="216">
        <v>219678.25</v>
      </c>
      <c r="Q30" s="217">
        <v>312167.92632374924</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-983780.09</v>
      </c>
      <c r="AT30" s="220">
        <v>-11.18</v>
      </c>
      <c r="AU30" s="220">
        <v>18445357.140000001</v>
      </c>
      <c r="AV30" s="220"/>
      <c r="AW30" s="297"/>
    </row>
    <row r="31" spans="1:49" x14ac:dyDescent="0.2">
      <c r="B31" s="242" t="s">
        <v>247</v>
      </c>
      <c r="C31" s="203"/>
      <c r="D31" s="216"/>
      <c r="E31" s="217"/>
      <c r="F31" s="217"/>
      <c r="G31" s="217"/>
      <c r="H31" s="217"/>
      <c r="I31" s="216">
        <v>0</v>
      </c>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-3285.85</v>
      </c>
      <c r="AT31" s="220"/>
      <c r="AU31" s="220">
        <v>0</v>
      </c>
      <c r="AV31" s="220"/>
      <c r="AW31" s="297"/>
    </row>
    <row r="32" spans="1:49" ht="13.9" customHeight="1" x14ac:dyDescent="0.2">
      <c r="B32" s="242" t="s">
        <v>248</v>
      </c>
      <c r="C32" s="203" t="s">
        <v>82</v>
      </c>
      <c r="D32" s="216"/>
      <c r="E32" s="217"/>
      <c r="F32" s="217"/>
      <c r="G32" s="217"/>
      <c r="H32" s="217"/>
      <c r="I32" s="216">
        <v>0</v>
      </c>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3076384.58</v>
      </c>
      <c r="E34" s="217">
        <v>12269684.66</v>
      </c>
      <c r="F34" s="217"/>
      <c r="G34" s="217"/>
      <c r="H34" s="217"/>
      <c r="I34" s="216">
        <v>12268876</v>
      </c>
      <c r="J34" s="216">
        <v>3221784.8</v>
      </c>
      <c r="K34" s="217">
        <v>3160650.584908226</v>
      </c>
      <c r="L34" s="217"/>
      <c r="M34" s="217"/>
      <c r="N34" s="217"/>
      <c r="O34" s="216"/>
      <c r="P34" s="216">
        <v>4133184.91</v>
      </c>
      <c r="Q34" s="217">
        <v>4194319.1250917744</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37566191.549999997</v>
      </c>
      <c r="E35" s="217">
        <v>37566191.549999997</v>
      </c>
      <c r="F35" s="217"/>
      <c r="G35" s="217"/>
      <c r="H35" s="217"/>
      <c r="I35" s="216">
        <v>37566160</v>
      </c>
      <c r="J35" s="216">
        <v>201594.78</v>
      </c>
      <c r="K35" s="217">
        <v>199780.64950653035</v>
      </c>
      <c r="L35" s="217"/>
      <c r="M35" s="217"/>
      <c r="N35" s="217"/>
      <c r="O35" s="216"/>
      <c r="P35" s="216">
        <v>94935.98</v>
      </c>
      <c r="Q35" s="217">
        <v>96750.110493469634</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894805.09</v>
      </c>
      <c r="AT35" s="220"/>
      <c r="AU35" s="220">
        <v>2532047.6800000002</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3945263</v>
      </c>
      <c r="E37" s="225">
        <v>3945262.53</v>
      </c>
      <c r="F37" s="225"/>
      <c r="G37" s="225"/>
      <c r="H37" s="225"/>
      <c r="I37" s="224">
        <v>3945593</v>
      </c>
      <c r="J37" s="224">
        <v>1004817</v>
      </c>
      <c r="K37" s="225">
        <v>983086.69413240044</v>
      </c>
      <c r="L37" s="225"/>
      <c r="M37" s="225"/>
      <c r="N37" s="225"/>
      <c r="O37" s="224"/>
      <c r="P37" s="224">
        <v>1638476</v>
      </c>
      <c r="Q37" s="225">
        <v>1660206.4758675995</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16633479</v>
      </c>
      <c r="AT37" s="226">
        <v>0</v>
      </c>
      <c r="AU37" s="226">
        <v>41237318</v>
      </c>
      <c r="AV37" s="226">
        <v>0</v>
      </c>
      <c r="AW37" s="296"/>
    </row>
    <row r="38" spans="1:49" x14ac:dyDescent="0.2">
      <c r="B38" s="239" t="s">
        <v>254</v>
      </c>
      <c r="C38" s="203" t="s">
        <v>16</v>
      </c>
      <c r="D38" s="216">
        <v>357431</v>
      </c>
      <c r="E38" s="217">
        <v>357431.4</v>
      </c>
      <c r="F38" s="217"/>
      <c r="G38" s="217"/>
      <c r="H38" s="217"/>
      <c r="I38" s="216">
        <v>357428</v>
      </c>
      <c r="J38" s="216">
        <v>56864</v>
      </c>
      <c r="K38" s="217">
        <v>54672.015058762649</v>
      </c>
      <c r="L38" s="217"/>
      <c r="M38" s="217"/>
      <c r="N38" s="217"/>
      <c r="O38" s="216"/>
      <c r="P38" s="216">
        <v>230320</v>
      </c>
      <c r="Q38" s="217">
        <v>232512.35494123737</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3285035</v>
      </c>
      <c r="AT38" s="220">
        <v>0</v>
      </c>
      <c r="AU38" s="220">
        <v>15708400</v>
      </c>
      <c r="AV38" s="220">
        <v>0</v>
      </c>
      <c r="AW38" s="297"/>
    </row>
    <row r="39" spans="1:49" x14ac:dyDescent="0.2">
      <c r="B39" s="242" t="s">
        <v>255</v>
      </c>
      <c r="C39" s="203" t="s">
        <v>17</v>
      </c>
      <c r="D39" s="216">
        <v>1401217</v>
      </c>
      <c r="E39" s="217">
        <v>1401217.34</v>
      </c>
      <c r="F39" s="217"/>
      <c r="G39" s="217"/>
      <c r="H39" s="217"/>
      <c r="I39" s="216">
        <v>1401210</v>
      </c>
      <c r="J39" s="216">
        <v>395733</v>
      </c>
      <c r="K39" s="217">
        <v>386941.94728434377</v>
      </c>
      <c r="L39" s="217"/>
      <c r="M39" s="217"/>
      <c r="N39" s="217"/>
      <c r="O39" s="216"/>
      <c r="P39" s="216">
        <v>617942</v>
      </c>
      <c r="Q39" s="217">
        <v>626732.98271565628</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1478790</v>
      </c>
      <c r="AT39" s="220">
        <v>0</v>
      </c>
      <c r="AU39" s="220">
        <v>6999328</v>
      </c>
      <c r="AV39" s="220">
        <v>0</v>
      </c>
      <c r="AW39" s="297"/>
    </row>
    <row r="40" spans="1:49" x14ac:dyDescent="0.2">
      <c r="B40" s="242" t="s">
        <v>256</v>
      </c>
      <c r="C40" s="203" t="s">
        <v>38</v>
      </c>
      <c r="D40" s="216">
        <v>1180233</v>
      </c>
      <c r="E40" s="217">
        <v>1180232.8400000001</v>
      </c>
      <c r="F40" s="217"/>
      <c r="G40" s="217"/>
      <c r="H40" s="217"/>
      <c r="I40" s="216">
        <v>1185294</v>
      </c>
      <c r="J40" s="216">
        <v>3577797</v>
      </c>
      <c r="K40" s="217">
        <v>3502718.1209190767</v>
      </c>
      <c r="L40" s="217"/>
      <c r="M40" s="217"/>
      <c r="N40" s="217"/>
      <c r="O40" s="216"/>
      <c r="P40" s="216">
        <v>5363980</v>
      </c>
      <c r="Q40" s="217">
        <v>5439059.309080923</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2446316</v>
      </c>
      <c r="AT40" s="220">
        <v>0</v>
      </c>
      <c r="AU40" s="220">
        <v>33364861</v>
      </c>
      <c r="AV40" s="220">
        <v>0</v>
      </c>
      <c r="AW40" s="297"/>
    </row>
    <row r="41" spans="1:49" s="5" customFormat="1" ht="25.5" x14ac:dyDescent="0.2">
      <c r="A41" s="35"/>
      <c r="B41" s="242" t="s">
        <v>257</v>
      </c>
      <c r="C41" s="203" t="s">
        <v>129</v>
      </c>
      <c r="D41" s="216">
        <v>1437201</v>
      </c>
      <c r="E41" s="217">
        <v>1437201</v>
      </c>
      <c r="F41" s="217"/>
      <c r="G41" s="217"/>
      <c r="H41" s="217"/>
      <c r="I41" s="216">
        <v>1437187</v>
      </c>
      <c r="J41" s="216">
        <v>474676</v>
      </c>
      <c r="K41" s="217">
        <v>465462.28643257997</v>
      </c>
      <c r="L41" s="217"/>
      <c r="M41" s="217"/>
      <c r="N41" s="217"/>
      <c r="O41" s="216"/>
      <c r="P41" s="216">
        <v>623689</v>
      </c>
      <c r="Q41" s="217">
        <v>632902.71356742003</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1045210</v>
      </c>
      <c r="AT41" s="220">
        <v>0</v>
      </c>
      <c r="AU41" s="220">
        <v>5488129</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12153622</v>
      </c>
      <c r="E44" s="225">
        <v>12153622.210000001</v>
      </c>
      <c r="F44" s="225"/>
      <c r="G44" s="225"/>
      <c r="H44" s="225"/>
      <c r="I44" s="224">
        <v>12170421</v>
      </c>
      <c r="J44" s="224">
        <v>3733540</v>
      </c>
      <c r="K44" s="225">
        <v>3655303.050083763</v>
      </c>
      <c r="L44" s="225"/>
      <c r="M44" s="225"/>
      <c r="N44" s="225"/>
      <c r="O44" s="224"/>
      <c r="P44" s="224">
        <v>5193282</v>
      </c>
      <c r="Q44" s="225">
        <v>5271519.5699162371</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15272671</v>
      </c>
      <c r="AT44" s="226">
        <v>0</v>
      </c>
      <c r="AU44" s="226">
        <v>48858571</v>
      </c>
      <c r="AV44" s="226">
        <v>0</v>
      </c>
      <c r="AW44" s="296"/>
    </row>
    <row r="45" spans="1:49" x14ac:dyDescent="0.2">
      <c r="B45" s="245" t="s">
        <v>261</v>
      </c>
      <c r="C45" s="203" t="s">
        <v>19</v>
      </c>
      <c r="D45" s="216">
        <v>11695987</v>
      </c>
      <c r="E45" s="217">
        <v>11695986.99</v>
      </c>
      <c r="F45" s="217"/>
      <c r="G45" s="217"/>
      <c r="H45" s="217"/>
      <c r="I45" s="216">
        <v>11706997</v>
      </c>
      <c r="J45" s="216">
        <v>1615761</v>
      </c>
      <c r="K45" s="217">
        <v>1534657.8832762525</v>
      </c>
      <c r="L45" s="217"/>
      <c r="M45" s="217"/>
      <c r="N45" s="217"/>
      <c r="O45" s="216"/>
      <c r="P45" s="216">
        <v>6039289</v>
      </c>
      <c r="Q45" s="217">
        <v>6120391.8767237477</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7606660</v>
      </c>
      <c r="AT45" s="220">
        <v>0</v>
      </c>
      <c r="AU45" s="220">
        <v>33703545</v>
      </c>
      <c r="AV45" s="220">
        <v>0</v>
      </c>
      <c r="AW45" s="297"/>
    </row>
    <row r="46" spans="1:49" x14ac:dyDescent="0.2">
      <c r="B46" s="245" t="s">
        <v>262</v>
      </c>
      <c r="C46" s="203" t="s">
        <v>20</v>
      </c>
      <c r="D46" s="216">
        <v>6511932</v>
      </c>
      <c r="E46" s="217">
        <v>6511931.5800000001</v>
      </c>
      <c r="F46" s="217"/>
      <c r="G46" s="217"/>
      <c r="H46" s="217"/>
      <c r="I46" s="216">
        <v>6511914</v>
      </c>
      <c r="J46" s="216">
        <v>1603893</v>
      </c>
      <c r="K46" s="217">
        <v>1564710.1937752909</v>
      </c>
      <c r="L46" s="217"/>
      <c r="M46" s="217"/>
      <c r="N46" s="217"/>
      <c r="O46" s="216"/>
      <c r="P46" s="216">
        <v>2786316</v>
      </c>
      <c r="Q46" s="217">
        <v>2825498.0062247091</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4442393</v>
      </c>
      <c r="AT46" s="220">
        <v>0</v>
      </c>
      <c r="AU46" s="220">
        <v>45657086</v>
      </c>
      <c r="AV46" s="220">
        <v>0</v>
      </c>
      <c r="AW46" s="297"/>
    </row>
    <row r="47" spans="1:49" x14ac:dyDescent="0.2">
      <c r="B47" s="245" t="s">
        <v>263</v>
      </c>
      <c r="C47" s="203" t="s">
        <v>21</v>
      </c>
      <c r="D47" s="216">
        <v>48582698</v>
      </c>
      <c r="E47" s="217">
        <v>48582697.719999999</v>
      </c>
      <c r="F47" s="217"/>
      <c r="G47" s="217"/>
      <c r="H47" s="217"/>
      <c r="I47" s="216">
        <v>48553768</v>
      </c>
      <c r="J47" s="216">
        <v>18808712</v>
      </c>
      <c r="K47" s="217">
        <v>18586374.55689764</v>
      </c>
      <c r="L47" s="217"/>
      <c r="M47" s="217"/>
      <c r="N47" s="217"/>
      <c r="O47" s="216"/>
      <c r="P47" s="216">
        <v>12622875</v>
      </c>
      <c r="Q47" s="217">
        <v>12845212.53310236</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1059996</v>
      </c>
      <c r="AT47" s="220">
        <v>451</v>
      </c>
      <c r="AU47" s="220">
        <v>43251648</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-3204.4</v>
      </c>
      <c r="E49" s="217">
        <v>-3204.4</v>
      </c>
      <c r="F49" s="217"/>
      <c r="G49" s="217"/>
      <c r="H49" s="217"/>
      <c r="I49" s="216">
        <v>5983</v>
      </c>
      <c r="J49" s="216">
        <v>71765.33</v>
      </c>
      <c r="K49" s="217">
        <v>71460.992848839131</v>
      </c>
      <c r="L49" s="217"/>
      <c r="M49" s="217"/>
      <c r="N49" s="217"/>
      <c r="O49" s="216"/>
      <c r="P49" s="216">
        <v>39772.019999999997</v>
      </c>
      <c r="Q49" s="217">
        <v>40076.357151160868</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-100322.28</v>
      </c>
      <c r="AT49" s="220">
        <v>-1.22</v>
      </c>
      <c r="AU49" s="220">
        <v>2108694.83</v>
      </c>
      <c r="AV49" s="220"/>
      <c r="AW49" s="297"/>
    </row>
    <row r="50" spans="2:49" ht="25.5" x14ac:dyDescent="0.2">
      <c r="B50" s="239" t="s">
        <v>265</v>
      </c>
      <c r="C50" s="203"/>
      <c r="D50" s="216"/>
      <c r="E50" s="217"/>
      <c r="F50" s="217"/>
      <c r="G50" s="217"/>
      <c r="H50" s="217"/>
      <c r="I50" s="216">
        <v>0</v>
      </c>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2500</v>
      </c>
      <c r="AT50" s="220"/>
      <c r="AU50" s="220">
        <v>177741.65</v>
      </c>
      <c r="AV50" s="220"/>
      <c r="AW50" s="297"/>
    </row>
    <row r="51" spans="2:49" x14ac:dyDescent="0.2">
      <c r="B51" s="239" t="s">
        <v>266</v>
      </c>
      <c r="C51" s="203"/>
      <c r="D51" s="216">
        <v>86222788</v>
      </c>
      <c r="E51" s="217">
        <v>86222788.420000002</v>
      </c>
      <c r="F51" s="217"/>
      <c r="G51" s="217"/>
      <c r="H51" s="217"/>
      <c r="I51" s="216">
        <v>86221802</v>
      </c>
      <c r="J51" s="216">
        <v>17963248</v>
      </c>
      <c r="K51" s="217">
        <v>17686673.810704637</v>
      </c>
      <c r="L51" s="217"/>
      <c r="M51" s="217"/>
      <c r="N51" s="217"/>
      <c r="O51" s="216"/>
      <c r="P51" s="216">
        <v>16828586</v>
      </c>
      <c r="Q51" s="217">
        <v>17105160.569295362</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110167907</v>
      </c>
      <c r="AT51" s="220">
        <v>0</v>
      </c>
      <c r="AU51" s="220">
        <v>219896480</v>
      </c>
      <c r="AV51" s="220">
        <v>0</v>
      </c>
      <c r="AW51" s="297"/>
    </row>
    <row r="52" spans="2:49" ht="25.5" x14ac:dyDescent="0.2">
      <c r="B52" s="239" t="s">
        <v>267</v>
      </c>
      <c r="C52" s="203" t="s">
        <v>89</v>
      </c>
      <c r="D52" s="216">
        <v>0</v>
      </c>
      <c r="E52" s="217"/>
      <c r="F52" s="217"/>
      <c r="G52" s="217"/>
      <c r="H52" s="217"/>
      <c r="I52" s="216">
        <v>0</v>
      </c>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v>0</v>
      </c>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183860</v>
      </c>
      <c r="E56" s="229">
        <v>183860</v>
      </c>
      <c r="F56" s="229"/>
      <c r="G56" s="229"/>
      <c r="H56" s="229"/>
      <c r="I56" s="228">
        <v>183859</v>
      </c>
      <c r="J56" s="228">
        <v>47377</v>
      </c>
      <c r="K56" s="229">
        <v>48123</v>
      </c>
      <c r="L56" s="229"/>
      <c r="M56" s="229"/>
      <c r="N56" s="229"/>
      <c r="O56" s="228"/>
      <c r="P56" s="228">
        <v>63458</v>
      </c>
      <c r="Q56" s="229">
        <v>62712</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332518</v>
      </c>
      <c r="AT56" s="230">
        <v>0</v>
      </c>
      <c r="AU56" s="230">
        <v>441364</v>
      </c>
      <c r="AV56" s="230">
        <v>0</v>
      </c>
      <c r="AW56" s="288"/>
    </row>
    <row r="57" spans="2:49" x14ac:dyDescent="0.2">
      <c r="B57" s="245" t="s">
        <v>272</v>
      </c>
      <c r="C57" s="203" t="s">
        <v>25</v>
      </c>
      <c r="D57" s="231">
        <v>264328</v>
      </c>
      <c r="E57" s="232">
        <v>264328</v>
      </c>
      <c r="F57" s="232"/>
      <c r="G57" s="232"/>
      <c r="H57" s="232"/>
      <c r="I57" s="231">
        <v>264325</v>
      </c>
      <c r="J57" s="231">
        <v>69890</v>
      </c>
      <c r="K57" s="232">
        <v>68396</v>
      </c>
      <c r="L57" s="232"/>
      <c r="M57" s="232"/>
      <c r="N57" s="232"/>
      <c r="O57" s="231"/>
      <c r="P57" s="231">
        <v>95994</v>
      </c>
      <c r="Q57" s="232">
        <v>97488</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332518</v>
      </c>
      <c r="AT57" s="233">
        <v>0</v>
      </c>
      <c r="AU57" s="233">
        <v>441364</v>
      </c>
      <c r="AV57" s="233">
        <v>0</v>
      </c>
      <c r="AW57" s="289"/>
    </row>
    <row r="58" spans="2:49" x14ac:dyDescent="0.2">
      <c r="B58" s="245" t="s">
        <v>273</v>
      </c>
      <c r="C58" s="203" t="s">
        <v>26</v>
      </c>
      <c r="D58" s="309"/>
      <c r="E58" s="310"/>
      <c r="F58" s="310"/>
      <c r="G58" s="310"/>
      <c r="H58" s="310"/>
      <c r="I58" s="309"/>
      <c r="J58" s="231">
        <v>4696</v>
      </c>
      <c r="K58" s="232">
        <v>4696</v>
      </c>
      <c r="L58" s="232"/>
      <c r="M58" s="232"/>
      <c r="N58" s="232"/>
      <c r="O58" s="231"/>
      <c r="P58" s="231">
        <v>168</v>
      </c>
      <c r="Q58" s="232">
        <v>168</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v>31</v>
      </c>
      <c r="AV58" s="233">
        <v>0</v>
      </c>
      <c r="AW58" s="289"/>
    </row>
    <row r="59" spans="2:49" x14ac:dyDescent="0.2">
      <c r="B59" s="245" t="s">
        <v>274</v>
      </c>
      <c r="C59" s="203" t="s">
        <v>27</v>
      </c>
      <c r="D59" s="231">
        <v>3464398</v>
      </c>
      <c r="E59" s="232">
        <v>3470273</v>
      </c>
      <c r="F59" s="232"/>
      <c r="G59" s="232"/>
      <c r="H59" s="232"/>
      <c r="I59" s="231">
        <v>3470251</v>
      </c>
      <c r="J59" s="231">
        <v>868987</v>
      </c>
      <c r="K59" s="232">
        <v>851617</v>
      </c>
      <c r="L59" s="232"/>
      <c r="M59" s="232"/>
      <c r="N59" s="232"/>
      <c r="O59" s="231"/>
      <c r="P59" s="231">
        <v>1136873</v>
      </c>
      <c r="Q59" s="232">
        <v>1153079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3785768</v>
      </c>
      <c r="AT59" s="233">
        <v>0</v>
      </c>
      <c r="AU59" s="233">
        <v>5195475</v>
      </c>
      <c r="AV59" s="233">
        <v>0</v>
      </c>
      <c r="AW59" s="289"/>
    </row>
    <row r="60" spans="2:49" x14ac:dyDescent="0.2">
      <c r="B60" s="245" t="s">
        <v>275</v>
      </c>
      <c r="C60" s="203"/>
      <c r="D60" s="234">
        <f t="shared" ref="D60:AC60" si="0">D$59/12</f>
        <v>288699.83333333331</v>
      </c>
      <c r="E60" s="235">
        <f t="shared" si="0"/>
        <v>289189.41666666669</v>
      </c>
      <c r="F60" s="235">
        <f t="shared" si="0"/>
        <v>0</v>
      </c>
      <c r="G60" s="235">
        <f t="shared" si="0"/>
        <v>0</v>
      </c>
      <c r="H60" s="235">
        <f t="shared" si="0"/>
        <v>0</v>
      </c>
      <c r="I60" s="234">
        <f t="shared" si="0"/>
        <v>289187.58333333331</v>
      </c>
      <c r="J60" s="234">
        <f t="shared" si="0"/>
        <v>72415.583333333328</v>
      </c>
      <c r="K60" s="235">
        <f t="shared" si="0"/>
        <v>70968.083333333328</v>
      </c>
      <c r="L60" s="235">
        <f t="shared" si="0"/>
        <v>0</v>
      </c>
      <c r="M60" s="235">
        <f t="shared" si="0"/>
        <v>0</v>
      </c>
      <c r="N60" s="235">
        <f t="shared" si="0"/>
        <v>0</v>
      </c>
      <c r="O60" s="234">
        <f t="shared" si="0"/>
        <v>0</v>
      </c>
      <c r="P60" s="234">
        <f t="shared" si="0"/>
        <v>94739.416666666672</v>
      </c>
      <c r="Q60" s="235">
        <f t="shared" si="0"/>
        <v>96089.916666666672</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315480.66666666669</v>
      </c>
      <c r="AT60" s="236">
        <f>AT$59/12</f>
        <v>0</v>
      </c>
      <c r="AU60" s="236">
        <f>AU$59/12</f>
        <v>432956.25</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62197968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14257873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1035164296</v>
      </c>
      <c r="E5" s="326">
        <v>1188746061.4998102</v>
      </c>
      <c r="F5" s="326"/>
      <c r="G5" s="328"/>
      <c r="H5" s="328"/>
      <c r="I5" s="325">
        <v>1188737356</v>
      </c>
      <c r="J5" s="325">
        <v>335911413</v>
      </c>
      <c r="K5" s="326">
        <v>337966610.47877508</v>
      </c>
      <c r="L5" s="326"/>
      <c r="M5" s="326"/>
      <c r="N5" s="326"/>
      <c r="O5" s="325"/>
      <c r="P5" s="325">
        <v>526027283</v>
      </c>
      <c r="Q5" s="326">
        <v>529011455.82987517</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1194466642</v>
      </c>
      <c r="AT5" s="327">
        <v>-343</v>
      </c>
      <c r="AU5" s="327">
        <v>5767507345</v>
      </c>
      <c r="AV5" s="369"/>
      <c r="AW5" s="373"/>
    </row>
    <row r="6" spans="2:49" x14ac:dyDescent="0.2">
      <c r="B6" s="343" t="s">
        <v>278</v>
      </c>
      <c r="C6" s="331" t="s">
        <v>8</v>
      </c>
      <c r="D6" s="318">
        <v>0</v>
      </c>
      <c r="E6" s="319"/>
      <c r="F6" s="319"/>
      <c r="G6" s="320"/>
      <c r="H6" s="320"/>
      <c r="I6" s="318">
        <v>0</v>
      </c>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c r="F7" s="319"/>
      <c r="G7" s="320"/>
      <c r="H7" s="320"/>
      <c r="I7" s="318">
        <v>0</v>
      </c>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-4465811</v>
      </c>
      <c r="E9" s="362"/>
      <c r="F9" s="362"/>
      <c r="G9" s="362"/>
      <c r="H9" s="362"/>
      <c r="I9" s="364"/>
      <c r="J9" s="318">
        <v>0</v>
      </c>
      <c r="K9" s="362"/>
      <c r="L9" s="362"/>
      <c r="M9" s="362"/>
      <c r="N9" s="362"/>
      <c r="O9" s="364"/>
      <c r="P9" s="318">
        <v>3015596</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44254868</v>
      </c>
      <c r="AV9" s="368"/>
      <c r="AW9" s="374"/>
    </row>
    <row r="10" spans="2:49" ht="25.5" x14ac:dyDescent="0.2">
      <c r="B10" s="345" t="s">
        <v>83</v>
      </c>
      <c r="C10" s="331"/>
      <c r="D10" s="365"/>
      <c r="E10" s="319">
        <v>0</v>
      </c>
      <c r="F10" s="319"/>
      <c r="G10" s="319"/>
      <c r="H10" s="319"/>
      <c r="I10" s="318">
        <v>0</v>
      </c>
      <c r="J10" s="365"/>
      <c r="K10" s="319">
        <v>0</v>
      </c>
      <c r="L10" s="319"/>
      <c r="M10" s="319"/>
      <c r="N10" s="319"/>
      <c r="O10" s="318"/>
      <c r="P10" s="365"/>
      <c r="Q10" s="319">
        <v>3015595</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-28995802</v>
      </c>
      <c r="E11" s="319"/>
      <c r="F11" s="319"/>
      <c r="G11" s="319"/>
      <c r="H11" s="319"/>
      <c r="I11" s="318">
        <v>0</v>
      </c>
      <c r="J11" s="318">
        <v>0</v>
      </c>
      <c r="K11" s="319"/>
      <c r="L11" s="319"/>
      <c r="M11" s="319"/>
      <c r="N11" s="319"/>
      <c r="O11" s="318"/>
      <c r="P11" s="318">
        <v>-2965031</v>
      </c>
      <c r="Q11" s="319">
        <v>-3410662.99</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5600362</v>
      </c>
      <c r="AV11" s="368"/>
      <c r="AW11" s="374"/>
    </row>
    <row r="12" spans="2:49" ht="15" customHeight="1" x14ac:dyDescent="0.2">
      <c r="B12" s="343" t="s">
        <v>282</v>
      </c>
      <c r="C12" s="331" t="s">
        <v>44</v>
      </c>
      <c r="D12" s="318">
        <v>-2805006</v>
      </c>
      <c r="E12" s="363"/>
      <c r="F12" s="363"/>
      <c r="G12" s="363"/>
      <c r="H12" s="363"/>
      <c r="I12" s="365"/>
      <c r="J12" s="318">
        <v>0</v>
      </c>
      <c r="K12" s="363"/>
      <c r="L12" s="363"/>
      <c r="M12" s="363"/>
      <c r="N12" s="363"/>
      <c r="O12" s="365"/>
      <c r="P12" s="318">
        <v>-2703593</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43110525</v>
      </c>
      <c r="AV12" s="368"/>
      <c r="AW12" s="374"/>
    </row>
    <row r="13" spans="2:49" x14ac:dyDescent="0.2">
      <c r="B13" s="343" t="s">
        <v>283</v>
      </c>
      <c r="C13" s="331" t="s">
        <v>10</v>
      </c>
      <c r="D13" s="318">
        <v>0</v>
      </c>
      <c r="E13" s="319"/>
      <c r="F13" s="319"/>
      <c r="G13" s="319"/>
      <c r="H13" s="319"/>
      <c r="I13" s="318">
        <v>0</v>
      </c>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v>0</v>
      </c>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136763089.09</v>
      </c>
      <c r="F15" s="319"/>
      <c r="G15" s="319"/>
      <c r="H15" s="319"/>
      <c r="I15" s="318">
        <v>136763089</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-135056370.83000001</v>
      </c>
      <c r="F16" s="319"/>
      <c r="G16" s="319"/>
      <c r="H16" s="319"/>
      <c r="I16" s="318">
        <v>-135056371</v>
      </c>
      <c r="J16" s="318"/>
      <c r="K16" s="319">
        <v>-11511826.07</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v>0</v>
      </c>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v>0</v>
      </c>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v>826062344.29999995</v>
      </c>
      <c r="F20" s="319"/>
      <c r="G20" s="319"/>
      <c r="H20" s="319"/>
      <c r="I20" s="318">
        <v>826062344</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940168136</v>
      </c>
      <c r="E23" s="362"/>
      <c r="F23" s="362"/>
      <c r="G23" s="362"/>
      <c r="H23" s="362"/>
      <c r="I23" s="364"/>
      <c r="J23" s="318">
        <v>265900088</v>
      </c>
      <c r="K23" s="362"/>
      <c r="L23" s="362"/>
      <c r="M23" s="362"/>
      <c r="N23" s="362"/>
      <c r="O23" s="364"/>
      <c r="P23" s="318">
        <v>456546087</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1106358192</v>
      </c>
      <c r="AT23" s="321">
        <v>0</v>
      </c>
      <c r="AU23" s="321">
        <v>4521771546</v>
      </c>
      <c r="AV23" s="368"/>
      <c r="AW23" s="374"/>
    </row>
    <row r="24" spans="2:49" ht="28.5" customHeight="1" x14ac:dyDescent="0.2">
      <c r="B24" s="345" t="s">
        <v>114</v>
      </c>
      <c r="C24" s="331"/>
      <c r="D24" s="365"/>
      <c r="E24" s="319">
        <v>1125439350.1199999</v>
      </c>
      <c r="F24" s="319"/>
      <c r="G24" s="319"/>
      <c r="H24" s="319"/>
      <c r="I24" s="318">
        <v>1125358941</v>
      </c>
      <c r="J24" s="365"/>
      <c r="K24" s="319">
        <v>257323129.78</v>
      </c>
      <c r="L24" s="319"/>
      <c r="M24" s="319"/>
      <c r="N24" s="319"/>
      <c r="O24" s="318"/>
      <c r="P24" s="365"/>
      <c r="Q24" s="319">
        <v>466159748.82999998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160456460</v>
      </c>
      <c r="E26" s="362"/>
      <c r="F26" s="362"/>
      <c r="G26" s="362"/>
      <c r="H26" s="362"/>
      <c r="I26" s="364"/>
      <c r="J26" s="318">
        <v>26977570</v>
      </c>
      <c r="K26" s="362"/>
      <c r="L26" s="362"/>
      <c r="M26" s="362"/>
      <c r="N26" s="362"/>
      <c r="O26" s="364"/>
      <c r="P26" s="318">
        <v>48276220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92730921</v>
      </c>
      <c r="AT26" s="321">
        <v>0</v>
      </c>
      <c r="AU26" s="321">
        <v>663420100</v>
      </c>
      <c r="AV26" s="368"/>
      <c r="AW26" s="374"/>
    </row>
    <row r="27" spans="2:49" s="5" customFormat="1" ht="25.5" x14ac:dyDescent="0.2">
      <c r="B27" s="345" t="s">
        <v>85</v>
      </c>
      <c r="C27" s="331"/>
      <c r="D27" s="365"/>
      <c r="E27" s="319">
        <v>41192292.383000001</v>
      </c>
      <c r="F27" s="319"/>
      <c r="G27" s="319"/>
      <c r="H27" s="319"/>
      <c r="I27" s="318">
        <v>41189177</v>
      </c>
      <c r="J27" s="365"/>
      <c r="K27" s="319">
        <v>4174412.9544401928</v>
      </c>
      <c r="L27" s="319"/>
      <c r="M27" s="319"/>
      <c r="N27" s="319"/>
      <c r="O27" s="318"/>
      <c r="P27" s="365"/>
      <c r="Q27" s="319">
        <v>6469782.483816551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88155951</v>
      </c>
      <c r="E28" s="363"/>
      <c r="F28" s="363"/>
      <c r="G28" s="363"/>
      <c r="H28" s="363"/>
      <c r="I28" s="365"/>
      <c r="J28" s="318">
        <v>24405464</v>
      </c>
      <c r="K28" s="363"/>
      <c r="L28" s="363"/>
      <c r="M28" s="363"/>
      <c r="N28" s="363"/>
      <c r="O28" s="365"/>
      <c r="P28" s="318">
        <v>45376873</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112539334</v>
      </c>
      <c r="AT28" s="321">
        <v>0</v>
      </c>
      <c r="AU28" s="321">
        <v>607166391</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82663</v>
      </c>
      <c r="K30" s="362"/>
      <c r="L30" s="362"/>
      <c r="M30" s="362"/>
      <c r="N30" s="362"/>
      <c r="O30" s="364"/>
      <c r="P30" s="318">
        <v>12337</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v>0</v>
      </c>
      <c r="J31" s="365"/>
      <c r="K31" s="319">
        <v>-33428</v>
      </c>
      <c r="L31" s="319"/>
      <c r="M31" s="319"/>
      <c r="N31" s="319"/>
      <c r="O31" s="318"/>
      <c r="P31" s="365"/>
      <c r="Q31" s="319">
        <v>-28571.98</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116091</v>
      </c>
      <c r="K32" s="363"/>
      <c r="L32" s="363"/>
      <c r="M32" s="363"/>
      <c r="N32" s="363"/>
      <c r="O32" s="365"/>
      <c r="P32" s="318">
        <v>40909</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700872</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700872.43</v>
      </c>
      <c r="F35" s="319"/>
      <c r="G35" s="319"/>
      <c r="H35" s="319"/>
      <c r="I35" s="318">
        <v>0</v>
      </c>
      <c r="J35" s="365"/>
      <c r="K35" s="319">
        <v>0</v>
      </c>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5254295</v>
      </c>
      <c r="E36" s="319">
        <v>5254294.72</v>
      </c>
      <c r="F36" s="319"/>
      <c r="G36" s="319"/>
      <c r="H36" s="319"/>
      <c r="I36" s="318">
        <v>0</v>
      </c>
      <c r="J36" s="318">
        <v>0</v>
      </c>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-4465811</v>
      </c>
      <c r="E38" s="362"/>
      <c r="F38" s="362"/>
      <c r="G38" s="362"/>
      <c r="H38" s="362"/>
      <c r="I38" s="364"/>
      <c r="J38" s="318">
        <v>0</v>
      </c>
      <c r="K38" s="362"/>
      <c r="L38" s="362"/>
      <c r="M38" s="362"/>
      <c r="N38" s="362"/>
      <c r="O38" s="364"/>
      <c r="P38" s="318">
        <v>3015596</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44254868</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c r="P39" s="365"/>
      <c r="Q39" s="319">
        <v>3015595</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-28995802</v>
      </c>
      <c r="E41" s="362"/>
      <c r="F41" s="362"/>
      <c r="G41" s="362"/>
      <c r="H41" s="362"/>
      <c r="I41" s="364"/>
      <c r="J41" s="318">
        <v>0</v>
      </c>
      <c r="K41" s="362"/>
      <c r="L41" s="362"/>
      <c r="M41" s="362"/>
      <c r="N41" s="362"/>
      <c r="O41" s="364"/>
      <c r="P41" s="318">
        <v>-2965031</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5600362</v>
      </c>
      <c r="AV41" s="368"/>
      <c r="AW41" s="374"/>
    </row>
    <row r="42" spans="2:49" s="5" customFormat="1" ht="25.5" x14ac:dyDescent="0.2">
      <c r="B42" s="345" t="s">
        <v>92</v>
      </c>
      <c r="C42" s="331"/>
      <c r="D42" s="365"/>
      <c r="E42" s="319"/>
      <c r="F42" s="319"/>
      <c r="G42" s="319"/>
      <c r="H42" s="319"/>
      <c r="I42" s="318">
        <v>0</v>
      </c>
      <c r="J42" s="365"/>
      <c r="K42" s="319"/>
      <c r="L42" s="319"/>
      <c r="M42" s="319"/>
      <c r="N42" s="319"/>
      <c r="O42" s="318"/>
      <c r="P42" s="365"/>
      <c r="Q42" s="319">
        <v>-3410662.99</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-2805006</v>
      </c>
      <c r="E43" s="363"/>
      <c r="F43" s="363"/>
      <c r="G43" s="363"/>
      <c r="H43" s="363"/>
      <c r="I43" s="365"/>
      <c r="J43" s="318">
        <v>0</v>
      </c>
      <c r="K43" s="363"/>
      <c r="L43" s="363"/>
      <c r="M43" s="363"/>
      <c r="N43" s="363"/>
      <c r="O43" s="365"/>
      <c r="P43" s="318">
        <v>-2703593</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43110525</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v>0</v>
      </c>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-1</v>
      </c>
      <c r="AT45" s="321">
        <v>0</v>
      </c>
      <c r="AU45" s="321">
        <v>678583</v>
      </c>
      <c r="AV45" s="368"/>
      <c r="AW45" s="374"/>
    </row>
    <row r="46" spans="2:49" x14ac:dyDescent="0.2">
      <c r="B46" s="343" t="s">
        <v>116</v>
      </c>
      <c r="C46" s="331" t="s">
        <v>31</v>
      </c>
      <c r="D46" s="318">
        <v>0</v>
      </c>
      <c r="E46" s="319"/>
      <c r="F46" s="319"/>
      <c r="G46" s="319"/>
      <c r="H46" s="319"/>
      <c r="I46" s="318">
        <v>0</v>
      </c>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1</v>
      </c>
      <c r="AT46" s="321">
        <v>0</v>
      </c>
      <c r="AU46" s="321">
        <v>2736612</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1778243</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5237720</v>
      </c>
      <c r="E49" s="319">
        <v>17853606.260000002</v>
      </c>
      <c r="F49" s="319"/>
      <c r="G49" s="319"/>
      <c r="H49" s="319"/>
      <c r="I49" s="318">
        <v>17853542</v>
      </c>
      <c r="J49" s="318">
        <v>4722225</v>
      </c>
      <c r="K49" s="319">
        <v>8323199.7231453555</v>
      </c>
      <c r="L49" s="319"/>
      <c r="M49" s="319"/>
      <c r="N49" s="319"/>
      <c r="O49" s="318"/>
      <c r="P49" s="318">
        <v>1054617</v>
      </c>
      <c r="Q49" s="319">
        <v>11240052.796458324</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10523450</v>
      </c>
      <c r="AT49" s="321">
        <v>0</v>
      </c>
      <c r="AU49" s="321">
        <v>44223894</v>
      </c>
      <c r="AV49" s="368"/>
      <c r="AW49" s="374"/>
    </row>
    <row r="50" spans="2:49" x14ac:dyDescent="0.2">
      <c r="B50" s="343" t="s">
        <v>119</v>
      </c>
      <c r="C50" s="331" t="s">
        <v>34</v>
      </c>
      <c r="D50" s="318">
        <v>748541</v>
      </c>
      <c r="E50" s="363"/>
      <c r="F50" s="363"/>
      <c r="G50" s="363"/>
      <c r="H50" s="363"/>
      <c r="I50" s="365"/>
      <c r="J50" s="318">
        <v>1266300</v>
      </c>
      <c r="K50" s="363"/>
      <c r="L50" s="363"/>
      <c r="M50" s="363"/>
      <c r="N50" s="363"/>
      <c r="O50" s="365"/>
      <c r="P50" s="318">
        <v>2304767</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615529</v>
      </c>
      <c r="AT50" s="321">
        <v>0</v>
      </c>
      <c r="AU50" s="321">
        <v>23369271</v>
      </c>
      <c r="AV50" s="368"/>
      <c r="AW50" s="374"/>
    </row>
    <row r="51" spans="2:49" s="5" customFormat="1" x14ac:dyDescent="0.2">
      <c r="B51" s="343" t="s">
        <v>299</v>
      </c>
      <c r="C51" s="331"/>
      <c r="D51" s="318"/>
      <c r="E51" s="319"/>
      <c r="F51" s="319"/>
      <c r="G51" s="319"/>
      <c r="H51" s="319"/>
      <c r="I51" s="318">
        <v>0</v>
      </c>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v>0</v>
      </c>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v>0</v>
      </c>
      <c r="J53" s="318">
        <v>0</v>
      </c>
      <c r="K53" s="319">
        <v>265381.69730758009</v>
      </c>
      <c r="L53" s="319"/>
      <c r="M53" s="319"/>
      <c r="N53" s="319"/>
      <c r="O53" s="318"/>
      <c r="P53" s="318">
        <v>0</v>
      </c>
      <c r="Q53" s="319">
        <v>265020.99372314056</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972769436</v>
      </c>
      <c r="E54" s="323">
        <f>E24+E27+E31+E35-E36+E39+E42+E45+E46-E49+E51+E52+E53</f>
        <v>1144224613.9529998</v>
      </c>
      <c r="F54" s="323">
        <f>F24+F27+F31+F35-F36+F39+F42+F45+F46-F49+F51+F52+F53</f>
        <v>0</v>
      </c>
      <c r="G54" s="323">
        <f>G24+G27+G31+G35-G36+G39+G42+G45+G46-G49+G51+G52+G53</f>
        <v>0</v>
      </c>
      <c r="H54" s="323">
        <f>H24+H27+H31+H35-H36+H39+H42+H45+H46-H49+H51+H52+H53</f>
        <v>0</v>
      </c>
      <c r="I54" s="322">
        <f>I24+I27+I31+I35-I36+I39+I42+I45+I46-I49+I51+I52+I53</f>
        <v>1148694576</v>
      </c>
      <c r="J54" s="322">
        <f>J23+J26-J28+J30-J32+J34-J36+J38+J41-J43+J45+J46-J47-J49+J50+J51+J52+J53</f>
        <v>264982841</v>
      </c>
      <c r="K54" s="323">
        <f>K24+K27+K31+K35-K36+K39+K42+K45+K46-K49+K51+K52+K53</f>
        <v>253406296.70860243</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463421170</v>
      </c>
      <c r="Q54" s="323">
        <f>Q24+Q27+Q31+Q35-Q36+Q39+Q42+Q45+Q46-Q49+Q51+Q52+Q53</f>
        <v>461230859.54108137</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1076641858</v>
      </c>
      <c r="AT54" s="324">
        <f>AT23+AT26-AT28+AT30-AT32+AT34-AT36+AT38+AT41-AT43+AT45+AT46-AT47-AT49+AT50+AT51+AT52+AT53</f>
        <v>0</v>
      </c>
      <c r="AU54" s="324">
        <f>AU23+AU26-AU28+AU30-AU32+AU34-AU36+AU38+AU41-AU43+AU45+AU46-AU47-AU49+AU50+AU51+AU52+AU53</f>
        <v>4565552289</v>
      </c>
      <c r="AV54" s="368"/>
      <c r="AW54" s="374"/>
    </row>
    <row r="55" spans="2:49" ht="25.5" x14ac:dyDescent="0.2">
      <c r="B55" s="348" t="s">
        <v>493</v>
      </c>
      <c r="C55" s="335" t="s">
        <v>28</v>
      </c>
      <c r="D55" s="322">
        <f t="shared" ref="D55:AC55" si="0">MIN(MAX(0,D56),MAX(0,D57))</f>
        <v>932037</v>
      </c>
      <c r="E55" s="323">
        <f t="shared" si="0"/>
        <v>932037.37</v>
      </c>
      <c r="F55" s="323">
        <f t="shared" si="0"/>
        <v>0</v>
      </c>
      <c r="G55" s="323">
        <f t="shared" si="0"/>
        <v>0</v>
      </c>
      <c r="H55" s="323">
        <f t="shared" si="0"/>
        <v>0</v>
      </c>
      <c r="I55" s="322">
        <f t="shared" si="0"/>
        <v>914934</v>
      </c>
      <c r="J55" s="322">
        <f t="shared" si="0"/>
        <v>449988</v>
      </c>
      <c r="K55" s="323">
        <f t="shared" si="0"/>
        <v>449987.5</v>
      </c>
      <c r="L55" s="323">
        <f t="shared" si="0"/>
        <v>0</v>
      </c>
      <c r="M55" s="323">
        <f t="shared" si="0"/>
        <v>0</v>
      </c>
      <c r="N55" s="323">
        <f t="shared" si="0"/>
        <v>0</v>
      </c>
      <c r="O55" s="322">
        <f t="shared" si="0"/>
        <v>0</v>
      </c>
      <c r="P55" s="322">
        <f t="shared" si="0"/>
        <v>700758.6</v>
      </c>
      <c r="Q55" s="323">
        <f t="shared" si="0"/>
        <v>710948.05365100701</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v>1860215.81</v>
      </c>
      <c r="E56" s="319">
        <v>1860215.81</v>
      </c>
      <c r="F56" s="319"/>
      <c r="G56" s="319"/>
      <c r="H56" s="319"/>
      <c r="I56" s="318">
        <v>1860205</v>
      </c>
      <c r="J56" s="318">
        <v>485199.48</v>
      </c>
      <c r="K56" s="319">
        <v>475010.02634899301</v>
      </c>
      <c r="L56" s="319"/>
      <c r="M56" s="319"/>
      <c r="N56" s="319"/>
      <c r="O56" s="318"/>
      <c r="P56" s="318">
        <v>700758.6</v>
      </c>
      <c r="Q56" s="319">
        <v>710948.05365100701</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932037</v>
      </c>
      <c r="E57" s="319">
        <v>932037.37</v>
      </c>
      <c r="F57" s="319"/>
      <c r="G57" s="319"/>
      <c r="H57" s="319"/>
      <c r="I57" s="318">
        <v>914934</v>
      </c>
      <c r="J57" s="318">
        <v>449988</v>
      </c>
      <c r="K57" s="319">
        <v>449987.5</v>
      </c>
      <c r="L57" s="319"/>
      <c r="M57" s="319"/>
      <c r="N57" s="319"/>
      <c r="O57" s="318"/>
      <c r="P57" s="318">
        <v>1409079</v>
      </c>
      <c r="Q57" s="319">
        <v>1409078.97</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247234</v>
      </c>
      <c r="AT57" s="321">
        <v>0</v>
      </c>
      <c r="AU57" s="321">
        <v>13728341</v>
      </c>
      <c r="AV57" s="321">
        <v>0</v>
      </c>
      <c r="AW57" s="374"/>
    </row>
    <row r="58" spans="2:49" s="5" customFormat="1" x14ac:dyDescent="0.2">
      <c r="B58" s="351" t="s">
        <v>494</v>
      </c>
      <c r="C58" s="352"/>
      <c r="D58" s="353"/>
      <c r="E58" s="354">
        <v>153228712.62</v>
      </c>
      <c r="F58" s="354"/>
      <c r="G58" s="354"/>
      <c r="H58" s="354"/>
      <c r="I58" s="353">
        <v>146569262</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14590998.640000001</v>
      </c>
      <c r="D5" s="403">
        <v>646383349.00999999</v>
      </c>
      <c r="E5" s="454"/>
      <c r="F5" s="454"/>
      <c r="G5" s="448"/>
      <c r="H5" s="402">
        <v>118008440.28</v>
      </c>
      <c r="I5" s="403">
        <v>224807986.44999999</v>
      </c>
      <c r="J5" s="454"/>
      <c r="K5" s="454"/>
      <c r="L5" s="448"/>
      <c r="M5" s="402">
        <v>443904594.91000003</v>
      </c>
      <c r="N5" s="403">
        <v>484597993.23000002</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14556063.550899999</v>
      </c>
      <c r="D6" s="398">
        <v>655695293.34070003</v>
      </c>
      <c r="E6" s="400">
        <f>SUM('Pt 1 Summary of Data'!E$12,'Pt 1 Summary of Data'!E$22)+SUM('Pt 1 Summary of Data'!G$12,'Pt 1 Summary of Data'!G$22)-SUM('Pt 1 Summary of Data'!H$12,'Pt 1 Summary of Data'!H$22)</f>
        <v>1145156651.3229997</v>
      </c>
      <c r="F6" s="400">
        <f t="shared" ref="F6:F11" si="0">SUM(C6:E6)</f>
        <v>1815408008.2145996</v>
      </c>
      <c r="G6" s="401">
        <f>SUM('Pt 1 Summary of Data'!I$12,'Pt 1 Summary of Data'!I$22)</f>
        <v>1149609510</v>
      </c>
      <c r="H6" s="397">
        <v>118098930.13035157</v>
      </c>
      <c r="I6" s="398">
        <v>225516123.84088984</v>
      </c>
      <c r="J6" s="400">
        <f>SUM('Pt 1 Summary of Data'!K$12,'Pt 1 Summary of Data'!K$22)+SUM('Pt 1 Summary of Data'!M$12,'Pt 1 Summary of Data'!M$22)-SUM('Pt 1 Summary of Data'!N$12,'Pt 1 Summary of Data'!N$22)</f>
        <v>253856284.20860243</v>
      </c>
      <c r="K6" s="400">
        <f>SUM(H6:J6)</f>
        <v>597471338.1798439</v>
      </c>
      <c r="L6" s="401">
        <f>SUM('Pt 1 Summary of Data'!O$12,'Pt 1 Summary of Data'!O$22)</f>
        <v>0</v>
      </c>
      <c r="M6" s="397">
        <v>443339319.46646953</v>
      </c>
      <c r="N6" s="398">
        <v>481863057.69187331</v>
      </c>
      <c r="O6" s="400">
        <f>SUM('Pt 1 Summary of Data'!Q$12,'Pt 1 Summary of Data'!Q$22)+SUM('Pt 1 Summary of Data'!S$12,'Pt 1 Summary of Data'!S$22)-SUM('Pt 1 Summary of Data'!T$12,'Pt 1 Summary of Data'!T$22)</f>
        <v>461941807.5947324</v>
      </c>
      <c r="P6" s="400">
        <f>SUM(M6:O6)</f>
        <v>1387144184.7530751</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v>544416.22</v>
      </c>
      <c r="D7" s="398">
        <v>4104006.06</v>
      </c>
      <c r="E7" s="400">
        <f>SUM('Pt 1 Summary of Data'!E$37:E$41)+SUM('Pt 1 Summary of Data'!G$37:G$41)-SUM('Pt 1 Summary of Data'!H$37:H$41)+MAX(0,MIN('Pt 1 Summary of Data'!E$42+'Pt 1 Summary of Data'!G$42-'Pt 1 Summary of Data'!H$42,0.3%*('Pt 1 Summary of Data'!E$5+'Pt 1 Summary of Data'!G$5-'Pt 1 Summary of Data'!H$5-SUM(E$9:E$11))))</f>
        <v>8321345.1099999994</v>
      </c>
      <c r="F7" s="400">
        <f t="shared" si="0"/>
        <v>12969767.390000001</v>
      </c>
      <c r="G7" s="401">
        <f>SUM('Pt 1 Summary of Data'!I$37:I$41)+MAX(0,MIN(VALUE('Pt 1 Summary of Data'!I$42),0.3%*('Pt 1 Summary of Data'!I$5-SUM(G$9:G$10))))</f>
        <v>8326712</v>
      </c>
      <c r="H7" s="397">
        <v>3457282.93</v>
      </c>
      <c r="I7" s="398">
        <v>5488546.8499999996</v>
      </c>
      <c r="J7" s="400">
        <f>SUM('Pt 1 Summary of Data'!K$37:K$41)+SUM('Pt 1 Summary of Data'!M$37:M$41)-SUM('Pt 1 Summary of Data'!N$37:N$41)+MAX(0,MIN('Pt 1 Summary of Data'!K$42+'Pt 1 Summary of Data'!M$42-'Pt 1 Summary of Data'!N$42,0.3%*('Pt 1 Summary of Data'!K$5+'Pt 1 Summary of Data'!M$5-'Pt 1 Summary of Data'!N$5-SUM(J$10:J$11))))</f>
        <v>5392881.0638271635</v>
      </c>
      <c r="K7" s="400">
        <f>SUM(H7:J7)</f>
        <v>14338710.843827162</v>
      </c>
      <c r="L7" s="401">
        <f>SUM('Pt 1 Summary of Data'!O$37:O$41)+MAX(0,MIN(VALUE('Pt 1 Summary of Data'!O$42),0.3%*('Pt 1 Summary of Data'!O$5-L$10)))</f>
        <v>0</v>
      </c>
      <c r="M7" s="397">
        <v>9050024.9100000001</v>
      </c>
      <c r="N7" s="398">
        <v>10432835.140000001</v>
      </c>
      <c r="O7" s="400">
        <f>SUM('Pt 1 Summary of Data'!Q$37:Q$41)+SUM('Pt 1 Summary of Data'!S$37:S$41)-SUM('Pt 1 Summary of Data'!T$37:T$41)+MAX(0,MIN('Pt 1 Summary of Data'!Q$42+'Pt 1 Summary of Data'!S$42-'Pt 1 Summary of Data'!T$42,0.3%*('Pt 1 Summary of Data'!Q$5+'Pt 1 Summary of Data'!S$5-'Pt 1 Summary of Data'!T$5)))</f>
        <v>8591413.8361728359</v>
      </c>
      <c r="P7" s="400">
        <f>SUM(M7:O7)</f>
        <v>28074273.886172839</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v>90903824.900000006</v>
      </c>
      <c r="E8" s="400">
        <f>'Pt 2 Premium and Claims'!E58+'Pt 2 Premium and Claims'!G58-'Pt 2 Premium and Claims'!H58</f>
        <v>153228712.62</v>
      </c>
      <c r="F8" s="400">
        <f t="shared" si="0"/>
        <v>244132537.52000001</v>
      </c>
      <c r="G8" s="401">
        <f>'Pt 2 Premium and Claims'!I58</f>
        <v>146569262</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119899412.27</v>
      </c>
      <c r="E9" s="400">
        <f>'Pt 2 Premium and Claims'!E$15+'Pt 2 Premium and Claims'!G$15-'Pt 2 Premium and Claims'!H$15</f>
        <v>136763089.09</v>
      </c>
      <c r="F9" s="400">
        <f t="shared" si="0"/>
        <v>256662501.36000001</v>
      </c>
      <c r="G9" s="401">
        <f>'Pt 2 Premium and Claims'!I$15</f>
        <v>136763089</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-80860989.319999993</v>
      </c>
      <c r="E10" s="400">
        <f>'Pt 2 Premium and Claims'!E$16+'Pt 2 Premium and Claims'!G$16-'Pt 2 Premium and Claims'!H$16</f>
        <v>-135056370.83000001</v>
      </c>
      <c r="F10" s="400">
        <f t="shared" si="0"/>
        <v>-215917360.15000001</v>
      </c>
      <c r="G10" s="401">
        <f>'Pt 2 Premium and Claims'!I$16</f>
        <v>-135056371</v>
      </c>
      <c r="H10" s="443"/>
      <c r="I10" s="398">
        <v>-6552473.4400000004</v>
      </c>
      <c r="J10" s="400">
        <f>'Pt 2 Premium and Claims'!K$16+'Pt 2 Premium and Claims'!M$16-'Pt 2 Premium and Claims'!N$16</f>
        <v>-11511826.07</v>
      </c>
      <c r="K10" s="400">
        <f>SUM(H10:J10)</f>
        <v>-18064299.510000002</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5006904.62</v>
      </c>
      <c r="E11" s="400">
        <f>'Pt 2 Premium and Claims'!E$17+'Pt 2 Premium and Claims'!G$17-'Pt 2 Premium and Claims'!H$17</f>
        <v>0</v>
      </c>
      <c r="F11" s="400">
        <f t="shared" si="0"/>
        <v>5006904.62</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15100479.7709</v>
      </c>
      <c r="D12" s="400">
        <f>SUM(D$6:D$7) - SUM(D$8:D$11)+IF(AND(OR('Company Information'!$C$12="District of Columbia",'Company Information'!$C$12="Massachusetts",'Company Information'!$C$12="Vermont"),SUM($C$6:$F$11,$C$15:$F$16,$C$38:$D$38)&lt;&gt;0),SUM(I$6:I$7) - SUM(I$10:I$11),0)</f>
        <v>524850146.93069994</v>
      </c>
      <c r="E12" s="400">
        <f>SUM(E$6:E$7)-SUM(E$8:E$11)+IF(AND(OR('Company Information'!$C$12="District of Columbia",'Company Information'!$C$12="Massachusetts",'Company Information'!$C$12="Vermont"),SUM($C$6:$F$11,$C$15:$F$16,$C$38:$D$38)&lt;&gt;0),SUM(J$6:J$7)-SUM(J$10:J$11),0)</f>
        <v>998542565.55299962</v>
      </c>
      <c r="F12" s="400">
        <f>IFERROR(SUM(C$12:E$12)+C$17*MAX(0,E$50-C$50)+D$17*MAX(0,E$50-D$50),0)</f>
        <v>1538493192.2545996</v>
      </c>
      <c r="G12" s="447"/>
      <c r="H12" s="399">
        <f>SUM(H$6:H$7)+IF(AND(OR('Company Information'!$C$12="District of Columbia",'Company Information'!$C$12="Massachusetts",'Company Information'!$C$12="Vermont"),SUM($H$6:$K$11,$H$15:$K$16,$H$38:$I$38)&lt;&gt;0),SUM(C$6:C$7),0)</f>
        <v>121556213.06035158</v>
      </c>
      <c r="I12" s="400">
        <f>SUM(I$6:I$7) - SUM(I$10:I$11)+IF(AND(OR('Company Information'!$C$12="District of Columbia",'Company Information'!$C$12="Massachusetts",'Company Information'!$C$12="Vermont"),SUM($H$6:$K$11,$H$15:$K$16,$H$38:$I$38)&lt;&gt;0),SUM(D$6:D$7) - SUM(D$8:D$11),0)</f>
        <v>237557144.13088983</v>
      </c>
      <c r="J12" s="400">
        <f>SUM(J$6:J$7)-SUM(J$10:J$11)+IF(AND(OR('Company Information'!$C$12="District of Columbia",'Company Information'!$C$12="Massachusetts",'Company Information'!$C$12="Vermont"),SUM($H$6:$K$11,$H$15:$K$16,$H$38:$I$38)&lt;&gt;0),SUM(E$6:E$7)-SUM(E$8:E$11),0)</f>
        <v>270760991.34242958</v>
      </c>
      <c r="K12" s="400">
        <f>IFERROR(SUM(H$12:J$12)+H$17*MAX(0,J$50-H$50)+I$17*MAX(0,J$50-I$50),0)</f>
        <v>629874348.5336709</v>
      </c>
      <c r="L12" s="447"/>
      <c r="M12" s="399">
        <f>SUM(M$6:M$7)</f>
        <v>452389344.37646955</v>
      </c>
      <c r="N12" s="400">
        <f>SUM(N$6:N$7)</f>
        <v>492295892.8318733</v>
      </c>
      <c r="O12" s="400">
        <f>SUM(O$6:O$7)</f>
        <v>470533221.43090522</v>
      </c>
      <c r="P12" s="400">
        <f>SUM(M$12:O$12)+M$17*MAX(0,O$50-M$50)+N$17*MAX(0,O$50-N$50)</f>
        <v>1415218458.6392479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22837179.210000001</v>
      </c>
      <c r="D15" s="403">
        <v>614868839.01999998</v>
      </c>
      <c r="E15" s="395">
        <f>SUM('Pt 1 Summary of Data'!E$5:E$7)+SUM('Pt 1 Summary of Data'!G$5:G$7)-SUM('Pt 1 Summary of Data'!H$5:H$7)-SUM(E$9:E$11)</f>
        <v>1188746063.6398103</v>
      </c>
      <c r="F15" s="395">
        <f>SUM(C15:E15)</f>
        <v>1826452081.8698103</v>
      </c>
      <c r="G15" s="396">
        <f>SUM('Pt 1 Summary of Data'!I$5:I$7)-SUM(G$9:G$10)</f>
        <v>1188737356</v>
      </c>
      <c r="H15" s="402">
        <v>157384716.00999999</v>
      </c>
      <c r="I15" s="403">
        <v>288681772.61000001</v>
      </c>
      <c r="J15" s="395">
        <f>SUM('Pt 1 Summary of Data'!K$5:K$7)+SUM('Pt 1 Summary of Data'!M$5:M$7)-SUM('Pt 1 Summary of Data'!N$5:N$7)-SUM(J$10:J$11)</f>
        <v>337987586.36877507</v>
      </c>
      <c r="K15" s="395">
        <f>SUM(H15:J15)</f>
        <v>784054074.98877501</v>
      </c>
      <c r="L15" s="396">
        <f>SUM('Pt 1 Summary of Data'!O$5:O$7)-L$10</f>
        <v>0</v>
      </c>
      <c r="M15" s="402">
        <v>509541441.35000002</v>
      </c>
      <c r="N15" s="403">
        <v>558372054.72000003</v>
      </c>
      <c r="O15" s="395">
        <f>SUM('Pt 1 Summary of Data'!Q$5:Q$7)+SUM('Pt 1 Summary of Data'!S$5:S$7)-SUM('Pt 1 Summary of Data'!T$5:T$7)+N$56</f>
        <v>529075421.83987516</v>
      </c>
      <c r="P15" s="395">
        <f>SUM(M15:O15)</f>
        <v>1596988917.9098752</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1672531.13</v>
      </c>
      <c r="D16" s="398">
        <v>43469813.710000001</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65686673.642861709</v>
      </c>
      <c r="F16" s="400">
        <f>SUM(C16:E16)</f>
        <v>110829018.48286171</v>
      </c>
      <c r="G16" s="401">
        <f>SUM('Pt 1 Summary of Data'!I$25:I$28,'Pt 1 Summary of Data'!I$30,'Pt 1 Summary of Data'!I$34:I$35)+IF('Company Information'!$C$15="No",IF(MAX('Pt 1 Summary of Data'!I$31:I$32)=0,MIN('Pt 1 Summary of Data'!I$31:I$32),MAX('Pt 1 Summary of Data'!I$31:I$32)),SUM('Pt 1 Summary of Data'!I$31:I$32))</f>
        <v>55891801</v>
      </c>
      <c r="H16" s="397">
        <v>7649028.3499999996</v>
      </c>
      <c r="I16" s="398">
        <v>10917778.560000001</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16136193.836863605</v>
      </c>
      <c r="K16" s="400">
        <f>SUM(H16:J16)</f>
        <v>34703000.746863604</v>
      </c>
      <c r="L16" s="401">
        <f>SUM('Pt 1 Summary of Data'!O$25:O$28,'Pt 1 Summary of Data'!O$30,'Pt 1 Summary of Data'!O$34:O$35)+IF('Company Information'!$C$15="No",IF(MAX('Pt 1 Summary of Data'!O$31:O$32)=0,MIN('Pt 1 Summary of Data'!O$31:O$32),MAX('Pt 1 Summary of Data'!O$31:O$32)),SUM('Pt 1 Summary of Data'!O$31:O$32))</f>
        <v>0</v>
      </c>
      <c r="M16" s="397">
        <v>-1039872.63</v>
      </c>
      <c r="N16" s="398">
        <v>9652809.2100000009</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17373519.087779235</v>
      </c>
      <c r="P16" s="400">
        <f>SUM(M16:O16)</f>
        <v>25986455.667779237</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21164648.080000002</v>
      </c>
      <c r="D17" s="400">
        <f>D$15-D$16+IF(AND(OR('Company Information'!$C$12="District of Columbia",'Company Information'!$C$12="Massachusetts",'Company Information'!$C$12="Vermont"),SUM($C$6:$F$11,$C$15:$F$16,$C$38:$D$38)&lt;&gt;0),I$15-I$16,0)</f>
        <v>571399025.30999994</v>
      </c>
      <c r="E17" s="400">
        <f>E$15-E$16+IF(AND(OR('Company Information'!$C$12="District of Columbia",'Company Information'!$C$12="Massachusetts",'Company Information'!$C$12="Vermont"),SUM($C$6:$F$11,$C$15:$F$16,$C$38:$D$38)&lt;&gt;0),J$15-J$16,0)</f>
        <v>1123059389.9969487</v>
      </c>
      <c r="F17" s="400">
        <f>F$15-F$16+IF(AND(OR('Company Information'!$C$12="District of Columbia",'Company Information'!$C$12="Massachusetts",'Company Information'!$C$12="Vermont"),SUM($C$6:$F$11,$C$15:$F$16,$C$38:$D$38)&lt;&gt;0),K$15-K$16,0)</f>
        <v>1715623063.3869486</v>
      </c>
      <c r="G17" s="450"/>
      <c r="H17" s="399">
        <f>H$15-H$16+IF(AND(OR('Company Information'!$C$12="District of Columbia",'Company Information'!$C$12="Massachusetts",'Company Information'!$C$12="Vermont"),SUM($H$6:$K$11,$H$15:$K$16,$H$38:$I$38)&lt;&gt;0),C$15-C$16,0)</f>
        <v>149735687.66</v>
      </c>
      <c r="I17" s="400">
        <f>I$15-I$16+IF(AND(OR('Company Information'!$C$12="District of Columbia",'Company Information'!$C$12="Massachusetts",'Company Information'!$C$12="Vermont"),SUM($H$6:$K$11,$H$15:$K$16,$H$38:$I$38)&lt;&gt;0),D$15-D$16,0)</f>
        <v>277763994.05000001</v>
      </c>
      <c r="J17" s="400">
        <f>J$15-J$16+IF(AND(OR('Company Information'!$C$12="District of Columbia",'Company Information'!$C$12="Massachusetts",'Company Information'!$C$12="Vermont"),SUM($H$6:$K$11,$H$15:$K$16,$H$38:$I$38)&lt;&gt;0),E$15-E$16,0)</f>
        <v>321851392.53191149</v>
      </c>
      <c r="K17" s="400">
        <f>K$15-K$16+IF(AND(OR('Company Information'!$C$12="District of Columbia",'Company Information'!$C$12="Massachusetts",'Company Information'!$C$12="Vermont"),SUM($H$6:$K$11,$H$15:$K$16,$H$38:$I$38)&lt;&gt;0),F$15-F$16,0)</f>
        <v>749351074.24191141</v>
      </c>
      <c r="L17" s="450"/>
      <c r="M17" s="399">
        <f>M$15-M$16</f>
        <v>510581313.98000002</v>
      </c>
      <c r="N17" s="400">
        <f>N$15-N$16</f>
        <v>548719245.50999999</v>
      </c>
      <c r="O17" s="400">
        <f>O$15-O$16</f>
        <v>511701902.75209594</v>
      </c>
      <c r="P17" s="400">
        <f>P$15-P$16</f>
        <v>1571002462.2420959</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1018913015</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165170885</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56642277.75</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-51238345</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56642277.75</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33985366.649999999</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277704963.75</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277704963.75</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305117823.10000002</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911032392.25</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255048052.65000001</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33985366.649999999</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255048052.65000001</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282460912</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933689303.35000002</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1.0912763071658038</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31765086</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28621870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9865</v>
      </c>
      <c r="D38" s="405">
        <v>165884.67000000001</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289189.41666666669</v>
      </c>
      <c r="F38" s="432">
        <f>SUM(C$38:E$38)+IF(AND(OR('Company Information'!$C$12="District of Columbia",'Company Information'!$C$12="Massachusetts",'Company Information'!$C$12="Vermont"),SUM($C$6:$F$11,$C$15:$F$16,$C$38:$D$38)&lt;&gt;0,SUM(C$38:D$38)&lt;&gt;SUM(H$38:I$38)),SUM(H$38:I$38),0)</f>
        <v>464939.08666666667</v>
      </c>
      <c r="G38" s="448"/>
      <c r="H38" s="404">
        <v>33582</v>
      </c>
      <c r="I38" s="405">
        <v>63732.83</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70968.083333333328</v>
      </c>
      <c r="K38" s="432">
        <f>SUM(H$38:J$38)+IF(AND(OR('Company Information'!$C$12="District of Columbia",'Company Information'!$C$12="Massachusetts",'Company Information'!$C$12="Vermont"),SUM($H$6:$K$11,$H$15:$K$16,$H$38:$I$38)&lt;&gt;0,SUM(H$38:I$38)&lt;&gt;SUM(C$38:D$38)),SUM(C$38:D$38),0)</f>
        <v>168282.91333333333</v>
      </c>
      <c r="L38" s="448"/>
      <c r="M38" s="404">
        <v>104524</v>
      </c>
      <c r="N38" s="405">
        <v>109232.5</v>
      </c>
      <c r="O38" s="432">
        <f>('Pt 1 Summary of Data'!Q$59+'Pt 1 Summary of Data'!S$59-'Pt 1 Summary of Data'!T$59)/12</f>
        <v>96089.916666666672</v>
      </c>
      <c r="P38" s="432">
        <f>SUM(M$38:O$38)</f>
        <v>309846.41666666669</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9181</v>
      </c>
      <c r="G40" s="447"/>
      <c r="H40" s="443"/>
      <c r="I40" s="441"/>
      <c r="J40" s="441"/>
      <c r="K40" s="398">
        <v>2631</v>
      </c>
      <c r="L40" s="447"/>
      <c r="M40" s="443"/>
      <c r="N40" s="441"/>
      <c r="O40" s="441"/>
      <c r="P40" s="398">
        <v>1224</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1.6812908</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1.1764711999999999</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f>IF(OR(C$38&lt;1000,C$17&lt;=0),"",C$12/C$17)</f>
        <v>0.71347653473007799</v>
      </c>
      <c r="D45" s="436">
        <f>IF(OR(D$38&lt;1000,D$17&lt;=0),"",D$12/D$17)</f>
        <v>0.91853525064372321</v>
      </c>
      <c r="E45" s="436">
        <f>IF(OR(E$38&lt;1000,E$17&lt;=0),"",E$12/E$17)</f>
        <v>0.88912712403901684</v>
      </c>
      <c r="F45" s="436">
        <f>IF(OR(F$38&lt;1000,F$17&lt;=0),"",F$12/F$17)</f>
        <v>0.89675478552808519</v>
      </c>
      <c r="G45" s="447"/>
      <c r="H45" s="438">
        <f>IF(OR(H$38&lt;1000,H$17&lt;=0),"",H$12/H$17)</f>
        <v>0.81180522132015287</v>
      </c>
      <c r="I45" s="436">
        <f>IF(OR(I$38&lt;1000,I$17&lt;=0),"",I$12/I$17)</f>
        <v>0.85524815749923089</v>
      </c>
      <c r="J45" s="436">
        <f>IF(OR(J$38&lt;1000,J$17&lt;=0),"",J$12/J$17)</f>
        <v>0.84126089749816346</v>
      </c>
      <c r="K45" s="436">
        <f>IF(OR(K$38&lt;1000,K$17&lt;=0),"",K$12/K$17)</f>
        <v>0.8405597458719728</v>
      </c>
      <c r="L45" s="447"/>
      <c r="M45" s="438">
        <f>IF(OR(M$38&lt;1000,M$17&lt;=0),"",M$12/M$17)</f>
        <v>0.88602800766459322</v>
      </c>
      <c r="N45" s="436">
        <f>IF(OR(N$38&lt;1000,N$17&lt;=0),"",N$12/N$17)</f>
        <v>0.89717263766521482</v>
      </c>
      <c r="O45" s="436">
        <f>IF(OR(O$38&lt;1000,O$17&lt;=0),"",O$12/O$17)</f>
        <v>0.91954557702488027</v>
      </c>
      <c r="P45" s="436">
        <f>IF(OR(P$38&lt;1000,P$17&lt;=0),"",P$12/P$17)</f>
        <v>0.90083783612883905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f>IF(F$45="","",F$42)</f>
        <v>0</v>
      </c>
      <c r="G47" s="447"/>
      <c r="H47" s="443"/>
      <c r="I47" s="441"/>
      <c r="J47" s="441"/>
      <c r="K47" s="436">
        <f>IF(K$45="","",K$42)</f>
        <v>0</v>
      </c>
      <c r="L47" s="447"/>
      <c r="M47" s="443"/>
      <c r="N47" s="441"/>
      <c r="O47" s="441"/>
      <c r="P47" s="436">
        <f>IF(P$45="","",P$42)</f>
        <v>0</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f>IF(F$45="","",ROUND(F$45+MAX(0,F$47),3))</f>
        <v>0.89700000000000002</v>
      </c>
      <c r="G48" s="447"/>
      <c r="H48" s="443"/>
      <c r="I48" s="441"/>
      <c r="J48" s="441"/>
      <c r="K48" s="436">
        <f>IF(K$45="","",ROUND(K$45+MAX(0,K$47),3))</f>
        <v>0.84099999999999997</v>
      </c>
      <c r="L48" s="447"/>
      <c r="M48" s="443"/>
      <c r="N48" s="441"/>
      <c r="O48" s="441"/>
      <c r="P48" s="436">
        <f>IF(P$45="","",ROUND(P$45+MAX(0,P$47),3))</f>
        <v>0.90100000000000002</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f>F$48</f>
        <v>0.89700000000000002</v>
      </c>
      <c r="G51" s="447"/>
      <c r="H51" s="444"/>
      <c r="I51" s="442"/>
      <c r="J51" s="442"/>
      <c r="K51" s="436">
        <f>K$48</f>
        <v>0.84099999999999997</v>
      </c>
      <c r="L51" s="447"/>
      <c r="M51" s="444"/>
      <c r="N51" s="442"/>
      <c r="O51" s="442"/>
      <c r="P51" s="436">
        <f>P$48</f>
        <v>0.90100000000000002</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f>IF(F$38&lt;1000,"",MAX(0,E$15-E$16))</f>
        <v>1123059389.9969487</v>
      </c>
      <c r="G52" s="447"/>
      <c r="H52" s="443"/>
      <c r="I52" s="441"/>
      <c r="J52" s="441"/>
      <c r="K52" s="400">
        <f>IF(K$38&lt;1000,"",MAX(0,J$15-J$16))</f>
        <v>321851392.53191149</v>
      </c>
      <c r="L52" s="447"/>
      <c r="M52" s="443"/>
      <c r="N52" s="441"/>
      <c r="O52" s="441"/>
      <c r="P52" s="400">
        <f>IF(P$38&lt;1000,"",MAX(0,O$15-O$16))</f>
        <v>511701902.75209594</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9252773</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635467129</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644719902</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183860</v>
      </c>
      <c r="D4" s="104">
        <f>'Pt 1 Summary of Data'!$K$56+'Pt 1 Summary of Data'!$M$56-'Pt 1 Summary of Data'!$N$56</f>
        <v>48123</v>
      </c>
      <c r="E4" s="104">
        <f>'Pt 1 Summary of Data'!$Q$56+'Pt 1 Summary of Data'!$S$56-'Pt 1 Summary of Data'!$T$56</f>
        <v>62712</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t="s">
        <v>508</v>
      </c>
      <c r="C9" s="28"/>
      <c r="D9" s="29"/>
      <c r="E9" s="29"/>
      <c r="F9" s="29"/>
      <c r="G9" s="29"/>
      <c r="H9" s="29"/>
      <c r="I9" s="27"/>
      <c r="J9" s="27"/>
      <c r="K9" s="2"/>
    </row>
    <row r="10" spans="1:12" s="5" customFormat="1" ht="18" customHeight="1" x14ac:dyDescent="0.2">
      <c r="B10" s="61" t="s">
        <v>509</v>
      </c>
      <c r="C10" s="28"/>
      <c r="D10" s="29"/>
      <c r="E10" s="29"/>
      <c r="F10" s="29"/>
      <c r="G10" s="29"/>
      <c r="H10" s="29"/>
      <c r="I10" s="27"/>
      <c r="J10" s="27"/>
      <c r="K10" s="2"/>
    </row>
    <row r="11" spans="1:12" s="5" customFormat="1" ht="18" customHeight="1" x14ac:dyDescent="0.2">
      <c r="B11" s="61" t="s">
        <v>510</v>
      </c>
      <c r="C11" s="28"/>
      <c r="D11" s="29"/>
      <c r="E11" s="29"/>
      <c r="F11" s="29"/>
      <c r="G11" s="29"/>
      <c r="H11" s="29"/>
      <c r="I11" s="27"/>
      <c r="J11" s="27"/>
      <c r="K11" s="2"/>
    </row>
    <row r="12" spans="1:12" s="5" customFormat="1" ht="18" customHeight="1" x14ac:dyDescent="0.2">
      <c r="B12" s="61" t="s">
        <v>511</v>
      </c>
      <c r="C12" s="28"/>
      <c r="D12" s="29"/>
      <c r="E12" s="29"/>
      <c r="F12" s="29"/>
      <c r="G12" s="29"/>
      <c r="H12" s="29"/>
      <c r="I12" s="27"/>
      <c r="J12" s="27"/>
      <c r="K12" s="2"/>
    </row>
    <row r="13" spans="1:12" s="5" customFormat="1" ht="18" customHeight="1" x14ac:dyDescent="0.2">
      <c r="B13" s="61" t="s">
        <v>512</v>
      </c>
      <c r="C13" s="28"/>
      <c r="D13" s="29"/>
      <c r="E13" s="29"/>
      <c r="F13" s="29"/>
      <c r="G13" s="29"/>
      <c r="H13" s="29"/>
      <c r="I13" s="27"/>
      <c r="J13" s="27"/>
      <c r="K13" s="2"/>
    </row>
    <row r="14" spans="1:12" s="5" customFormat="1" ht="18" customHeight="1" x14ac:dyDescent="0.2">
      <c r="B14" s="61" t="s">
        <v>513</v>
      </c>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Jackson</cp:lastModifiedBy>
  <cp:lastPrinted>2014-12-18T11:24:00Z</cp:lastPrinted>
  <dcterms:created xsi:type="dcterms:W3CDTF">2012-03-15T16:14:51Z</dcterms:created>
  <dcterms:modified xsi:type="dcterms:W3CDTF">2016-07-28T17:14:36Z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