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505" yWindow="-15" windowWidth="14310" windowHeight="642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AN41" i="10"/>
  <c r="AB41" i="10"/>
  <c r="X41" i="10"/>
  <c r="T41" i="10"/>
  <c r="P41" i="10"/>
  <c r="K41" i="10"/>
  <c r="F41" i="10"/>
  <c r="AN39" i="10"/>
  <c r="T39" i="10"/>
  <c r="P39" i="10"/>
  <c r="AN38" i="10"/>
  <c r="AM38" i="10"/>
  <c r="AB38" i="10"/>
  <c r="AA38" i="10"/>
  <c r="X38" i="10"/>
  <c r="W38" i="10"/>
  <c r="T38" i="10"/>
  <c r="S38" i="10"/>
  <c r="P38" i="10"/>
  <c r="O38" i="10"/>
  <c r="L32" i="10"/>
  <c r="L27" i="10"/>
  <c r="L24" i="10"/>
  <c r="L23" i="10"/>
  <c r="L20" i="10"/>
  <c r="L19" i="10"/>
  <c r="L22" i="10" s="1"/>
  <c r="L30" i="10" s="1"/>
  <c r="L31" i="10" s="1"/>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U13" i="10" s="1"/>
  <c r="T16" i="10"/>
  <c r="S16" i="10"/>
  <c r="S13" i="10" s="1"/>
  <c r="P16" i="10"/>
  <c r="O16" i="10"/>
  <c r="L16" i="10"/>
  <c r="K16" i="10"/>
  <c r="J16" i="10"/>
  <c r="G16" i="10"/>
  <c r="F16" i="10"/>
  <c r="E16" i="10"/>
  <c r="AN15" i="10"/>
  <c r="AM15" i="10"/>
  <c r="AB15" i="10"/>
  <c r="AA15" i="10"/>
  <c r="X15" i="10"/>
  <c r="W15" i="10"/>
  <c r="T15" i="10"/>
  <c r="S15" i="10"/>
  <c r="R13" i="10" s="1"/>
  <c r="P15" i="10"/>
  <c r="O15" i="10"/>
  <c r="L15" i="10"/>
  <c r="AN13" i="10"/>
  <c r="AM13" i="10"/>
  <c r="AL13" i="10"/>
  <c r="AK13" i="10"/>
  <c r="AA13" i="10"/>
  <c r="Z13" i="10"/>
  <c r="Y13" i="10"/>
  <c r="V13" i="10"/>
  <c r="Q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T22" i="4" s="1"/>
  <c r="AS55" i="18"/>
  <c r="AS22" i="4" s="1"/>
  <c r="AR55" i="18"/>
  <c r="AR22" i="4" s="1"/>
  <c r="AQ55" i="18"/>
  <c r="AP55" i="18"/>
  <c r="AP22" i="4" s="1"/>
  <c r="AO55" i="18"/>
  <c r="AN55" i="18"/>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O55" i="18"/>
  <c r="O22" i="4" s="1"/>
  <c r="N55" i="18"/>
  <c r="N22" i="4" s="1"/>
  <c r="M55" i="18"/>
  <c r="M22" i="4" s="1"/>
  <c r="L55" i="18"/>
  <c r="L22" i="4" s="1"/>
  <c r="K55" i="18"/>
  <c r="K22" i="4" s="1"/>
  <c r="J55" i="18"/>
  <c r="J22" i="4" s="1"/>
  <c r="I55" i="18"/>
  <c r="H55" i="18"/>
  <c r="H22" i="4" s="1"/>
  <c r="G55" i="18"/>
  <c r="F55" i="18"/>
  <c r="E55" i="18"/>
  <c r="D55" i="18"/>
  <c r="AU54" i="18"/>
  <c r="AT54" i="18"/>
  <c r="AT12" i="4" s="1"/>
  <c r="AS54" i="18"/>
  <c r="AR54" i="18"/>
  <c r="AR12" i="4" s="1"/>
  <c r="AQ54" i="18"/>
  <c r="AQ12" i="4" s="1"/>
  <c r="AP54" i="18"/>
  <c r="AP12" i="4" s="1"/>
  <c r="AO54" i="18"/>
  <c r="AO12" i="4" s="1"/>
  <c r="AN54" i="18"/>
  <c r="AC54" i="18"/>
  <c r="AC12" i="4" s="1"/>
  <c r="AB54" i="18"/>
  <c r="AA54" i="18"/>
  <c r="AA12" i="4" s="1"/>
  <c r="Z54" i="18"/>
  <c r="Z12" i="4" s="1"/>
  <c r="Y54" i="18"/>
  <c r="Y12" i="4" s="1"/>
  <c r="X54" i="18"/>
  <c r="X12" i="4" s="1"/>
  <c r="W54" i="18"/>
  <c r="V54" i="18"/>
  <c r="U54" i="18"/>
  <c r="T54" i="18"/>
  <c r="S54" i="18"/>
  <c r="S12" i="4" s="1"/>
  <c r="R54" i="18"/>
  <c r="Q54" i="18"/>
  <c r="Q12" i="4" s="1"/>
  <c r="P54" i="18"/>
  <c r="P12" i="4" s="1"/>
  <c r="O54" i="18"/>
  <c r="O12" i="4" s="1"/>
  <c r="N54" i="18"/>
  <c r="M54" i="18"/>
  <c r="M12" i="4" s="1"/>
  <c r="L54" i="18"/>
  <c r="L12" i="4" s="1"/>
  <c r="K54" i="18"/>
  <c r="J54" i="18"/>
  <c r="J12" i="4" s="1"/>
  <c r="I54" i="18"/>
  <c r="I12" i="4" s="1"/>
  <c r="H54" i="18"/>
  <c r="G54" i="18"/>
  <c r="G12" i="4" s="1"/>
  <c r="F54" i="18"/>
  <c r="F12" i="4" s="1"/>
  <c r="E54" i="18"/>
  <c r="E12" i="4" s="1"/>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Q22" i="4"/>
  <c r="AO22" i="4"/>
  <c r="AN22" i="4"/>
  <c r="P22" i="4"/>
  <c r="I22" i="4"/>
  <c r="G22" i="4"/>
  <c r="F22" i="4"/>
  <c r="E22" i="4"/>
  <c r="D22" i="4"/>
  <c r="AU12" i="4"/>
  <c r="AS12" i="4"/>
  <c r="AN12" i="4"/>
  <c r="AB12" i="4"/>
  <c r="W12" i="4"/>
  <c r="V12" i="4"/>
  <c r="U12" i="4"/>
  <c r="T12" i="4"/>
  <c r="R12" i="4"/>
  <c r="N12" i="4"/>
  <c r="K12" i="4"/>
  <c r="H12" i="4"/>
  <c r="D12" i="4"/>
  <c r="AU5" i="4"/>
  <c r="AT5" i="4"/>
  <c r="AS5" i="4"/>
  <c r="AR5" i="4"/>
  <c r="AQ5" i="4"/>
  <c r="AP5" i="4"/>
  <c r="AO5" i="4"/>
  <c r="AN5" i="4"/>
  <c r="AC5" i="4"/>
  <c r="AB5" i="4"/>
  <c r="AA5" i="4"/>
  <c r="Z5" i="4"/>
  <c r="Y5" i="4"/>
  <c r="X5" i="4"/>
  <c r="W5" i="4"/>
  <c r="V5" i="4"/>
  <c r="U5" i="4"/>
  <c r="T5" i="4"/>
  <c r="S5" i="4"/>
  <c r="R5" i="4"/>
  <c r="Q5" i="4"/>
  <c r="P5" i="4"/>
  <c r="O5" i="4"/>
  <c r="N5" i="4"/>
  <c r="M5" i="4"/>
  <c r="L5" i="4"/>
  <c r="K5" i="4"/>
  <c r="J15" i="10" s="1"/>
  <c r="J5" i="4"/>
  <c r="I5" i="4"/>
  <c r="G15" i="10" s="1"/>
  <c r="H5" i="4"/>
  <c r="G5" i="4"/>
  <c r="F5" i="4"/>
  <c r="E5" i="4"/>
  <c r="D5" i="4"/>
  <c r="E15" i="10" l="1"/>
  <c r="K15" i="10"/>
  <c r="F15" i="10"/>
  <c r="G7" i="10"/>
  <c r="G24" i="10" s="1"/>
  <c r="J7" i="10"/>
  <c r="AB39" i="10"/>
  <c r="X39" i="10"/>
  <c r="P42" i="10"/>
  <c r="P47" i="10" s="1"/>
  <c r="P48" i="10" s="1"/>
  <c r="P51" i="10" s="1"/>
  <c r="P53" i="10" s="1"/>
  <c r="E11" i="16" s="1"/>
  <c r="L29" i="10"/>
  <c r="L33" i="10" s="1"/>
  <c r="L34" i="10" s="1"/>
  <c r="L21" i="10"/>
  <c r="L26" i="10" s="1"/>
  <c r="L25" i="10" s="1"/>
  <c r="L28" i="10" s="1"/>
  <c r="AB13" i="10"/>
  <c r="X13" i="10"/>
  <c r="T13" i="10"/>
  <c r="W13" i="10"/>
  <c r="E7" i="10"/>
  <c r="G27" i="10" l="1"/>
  <c r="F7" i="10"/>
  <c r="D17" i="10" s="1"/>
  <c r="E12" i="10"/>
  <c r="K7" i="10"/>
  <c r="H12" i="10" s="1"/>
  <c r="G20" i="10"/>
  <c r="G19" i="10"/>
  <c r="G32" i="10"/>
  <c r="C12" i="10"/>
  <c r="G23" i="10"/>
  <c r="F17" i="10"/>
  <c r="E17" i="10" l="1"/>
  <c r="C17" i="10"/>
  <c r="C45" i="10" s="1"/>
  <c r="D12" i="10"/>
  <c r="D45" i="10" s="1"/>
  <c r="E38" i="10"/>
  <c r="J17" i="10"/>
  <c r="G22" i="10"/>
  <c r="J38" i="10"/>
  <c r="J12" i="10"/>
  <c r="K17" i="10"/>
  <c r="H17" i="10"/>
  <c r="F38" i="10"/>
  <c r="E45" i="10"/>
  <c r="I12" i="10"/>
  <c r="I17" i="10"/>
  <c r="I45" i="10" s="1"/>
  <c r="F12" i="10" l="1"/>
  <c r="H45" i="10"/>
  <c r="K12" i="10"/>
  <c r="J45" i="10"/>
  <c r="K38" i="10"/>
  <c r="G30" i="10"/>
  <c r="G31" i="10" s="1"/>
  <c r="G29" i="10" s="1"/>
  <c r="G33" i="10" s="1"/>
  <c r="G34" i="10" s="1"/>
  <c r="G21" i="10"/>
  <c r="G26" i="10" s="1"/>
  <c r="G25" i="10" s="1"/>
  <c r="G28" i="10" s="1"/>
  <c r="F45" i="10"/>
  <c r="F52" i="10"/>
  <c r="F39" i="10"/>
  <c r="F42" i="10" s="1"/>
  <c r="K45" i="10" l="1"/>
  <c r="F47" i="10"/>
  <c r="F48" i="10" s="1"/>
  <c r="F51" i="10" s="1"/>
  <c r="F53" i="10" s="1"/>
  <c r="C11" i="16" s="1"/>
  <c r="K39" i="10"/>
  <c r="K42" i="10" s="1"/>
  <c r="K47" i="10" s="1"/>
  <c r="K48" i="10" s="1"/>
  <c r="K51" i="10" s="1"/>
  <c r="K53" i="10" s="1"/>
  <c r="D11" i="16" s="1"/>
  <c r="K52" i="10"/>
</calcChain>
</file>

<file path=xl/sharedStrings.xml><?xml version="1.0" encoding="utf-8"?>
<sst xmlns="http://schemas.openxmlformats.org/spreadsheetml/2006/main" count="634" uniqueCount="535">
  <si>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</si>
  <si>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</si>
  <si>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</si>
  <si>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</si>
  <si>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</si>
  <si>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</si>
  <si>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</si>
  <si>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</si>
  <si>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</si>
  <si>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</si>
  <si>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</si>
  <si>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</si>
  <si>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</si>
  <si>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</si>
  <si>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</si>
  <si>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</si>
  <si>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</si>
  <si>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</si>
  <si>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</si>
  <si>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</si>
  <si>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</si>
  <si>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</si>
  <si>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</si>
  <si>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</si>
  <si>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</si>
  <si>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</si>
  <si>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</si>
  <si>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</si>
  <si>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</si>
  <si>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</si>
  <si>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</si>
  <si>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</si>
  <si>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</si>
  <si>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</si>
  <si>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</si>
  <si>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</si>
  <si>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</si>
  <si>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</si>
  <si>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</si>
  <si>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</si>
  <si>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</si>
  <si>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</si>
  <si>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</si>
  <si>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</si>
  <si>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</si>
  <si>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</si>
  <si>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</si>
  <si>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</si>
  <si>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</si>
  <si>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</si>
  <si>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</si>
  <si>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</si>
  <si>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</si>
  <si>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</si>
  <si>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</si>
  <si>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</si>
  <si>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</si>
  <si>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</si>
  <si>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</si>
  <si>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</si>
  <si>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</si>
  <si>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</si>
  <si>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</si>
  <si>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</si>
  <si>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</si>
  <si>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</si>
  <si>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</si>
  <si>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</si>
  <si>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</si>
  <si>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</si>
  <si>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</si>
  <si>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</si>
  <si>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</si>
  <si>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</si>
  <si>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</si>
  <si>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</si>
  <si>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</si>
  <si>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</si>
  <si>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</si>
  <si>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</si>
  <si>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</si>
  <si>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</si>
  <si>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</si>
  <si>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</si>
  <si>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</si>
  <si>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</si>
  <si>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</si>
  <si>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</si>
  <si>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</si>
  <si>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</si>
  <si>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</si>
  <si>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</si>
  <si>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</si>
  <si>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</si>
  <si>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</si>
  <si>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</si>
  <si>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</si>
  <si>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</si>
  <si>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</si>
  <si>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</si>
  <si>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</si>
  <si>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</si>
  <si>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</si>
  <si>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</si>
  <si>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</si>
  <si>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</si>
  <si>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</si>
  <si>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</si>
  <si>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</si>
  <si>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</si>
  <si>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</si>
  <si>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</si>
  <si>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</si>
  <si>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</si>
  <si>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</si>
  <si>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</si>
  <si>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</si>
  <si>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</si>
  <si>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</si>
  <si>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</si>
  <si>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</si>
  <si>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</si>
  <si>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</si>
  <si>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</si>
  <si>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</si>
  <si>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</si>
  <si>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</si>
  <si>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</si>
  <si>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</si>
  <si>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</si>
  <si>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</si>
  <si>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</si>
  <si>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</si>
  <si>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</si>
  <si>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</si>
  <si>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</si>
  <si>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</si>
  <si>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</si>
  <si>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</si>
  <si>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</si>
  <si>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</si>
  <si>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</si>
  <si>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</si>
  <si>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</si>
  <si>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</si>
  <si>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</si>
  <si>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</si>
  <si>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</si>
  <si>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</si>
  <si>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</si>
  <si>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</si>
  <si>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</si>
  <si>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</si>
  <si>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</si>
  <si>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</si>
  <si>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</si>
  <si>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</si>
  <si>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</si>
  <si>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</si>
  <si>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</si>
  <si>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</si>
  <si>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</si>
  <si>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</si>
  <si>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</si>
  <si>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</si>
  <si>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</si>
  <si>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</si>
  <si>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</si>
  <si>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</si>
  <si>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</si>
  <si>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</si>
  <si>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</si>
  <si>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</si>
  <si>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</si>
  <si>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</si>
  <si>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</si>
  <si>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</si>
  <si>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</si>
  <si>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</si>
  <si>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</si>
  <si>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</si>
  <si>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</si>
  <si>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</si>
  <si>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</si>
  <si>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</si>
  <si>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</si>
  <si>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</si>
  <si>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</si>
  <si>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</si>
  <si>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</si>
  <si>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</si>
  <si>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</si>
  <si>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</si>
  <si>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</si>
  <si>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</si>
  <si>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</si>
  <si>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</si>
  <si>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</si>
  <si>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</si>
  <si>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</si>
  <si>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</si>
  <si>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</si>
  <si>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</si>
  <si>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</si>
  <si>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</si>
  <si>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</si>
  <si>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</si>
  <si>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</si>
  <si>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</si>
  <si>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</si>
  <si>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</si>
  <si>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</si>
  <si>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</si>
  <si>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</si>
  <si>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</si>
  <si>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</si>
  <si>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</si>
  <si>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</si>
  <si>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</si>
  <si>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</si>
  <si>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</si>
  <si>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</si>
  <si>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</si>
  <si>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</si>
  <si>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</si>
  <si>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</si>
  <si>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</si>
  <si>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</si>
  <si>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</si>
  <si>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</si>
  <si>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</si>
  <si>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</si>
  <si>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</si>
  <si>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</si>
  <si>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</si>
  <si>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</si>
  <si>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</si>
  <si>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</si>
  <si>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</si>
  <si>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</si>
  <si>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</si>
  <si>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</si>
  <si>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</si>
  <si>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</si>
  <si>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</si>
  <si>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</si>
  <si>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</si>
  <si>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</si>
  <si>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</si>
  <si>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</si>
  <si>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</si>
  <si>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</si>
  <si>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</si>
  <si>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</si>
  <si>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</si>
  <si>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</si>
  <si>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</si>
  <si>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</si>
  <si>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</si>
  <si>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</si>
  <si>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</si>
  <si>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</si>
  <si>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</si>
  <si>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</si>
  <si>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</si>
  <si>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</si>
  <si>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</si>
  <si>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</si>
  <si>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</si>
  <si>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</si>
  <si>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</si>
  <si>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</si>
  <si>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</si>
  <si>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</si>
  <si>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</si>
  <si>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</si>
  <si>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</si>
  <si>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</si>
  <si>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</si>
  <si>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</si>
  <si>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</si>
  <si>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</si>
  <si>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</si>
  <si>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</si>
  <si>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</si>
  <si>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</si>
  <si>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</si>
  <si>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</si>
  <si>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</si>
  <si>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</si>
  <si>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</si>
  <si>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</si>
  <si>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</si>
  <si>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</si>
  <si>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</si>
  <si>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</si>
  <si>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</si>
  <si>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</si>
  <si>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</si>
  <si>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</si>
  <si>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</si>
  <si>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</si>
  <si>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</si>
  <si>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</si>
  <si>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</si>
  <si>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</si>
  <si>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</si>
  <si>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</si>
  <si>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</si>
  <si>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</si>
  <si>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</si>
  <si>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</si>
  <si>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</si>
  <si>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</si>
  <si>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</si>
  <si>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</si>
  <si>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</si>
  <si>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</si>
  <si>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</si>
  <si>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</si>
  <si>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</si>
  <si>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</si>
  <si>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</si>
  <si>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</si>
  <si>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</si>
  <si>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</si>
  <si>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</si>
  <si>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</si>
  <si>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</si>
  <si>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</si>
  <si>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</si>
  <si>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</si>
  <si>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</si>
  <si>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</si>
  <si>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</si>
  <si>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</si>
  <si>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</si>
  <si>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</si>
  <si>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</si>
  <si>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</si>
  <si>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</si>
  <si>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</si>
  <si>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</si>
  <si>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</si>
  <si>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</si>
  <si>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</si>
  <si>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</si>
  <si>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</si>
  <si>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</si>
  <si>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</si>
  <si>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</si>
  <si>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</si>
  <si>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</si>
  <si>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</si>
  <si>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</si>
  <si>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</si>
  <si>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</si>
  <si>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</si>
  <si>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</si>
  <si>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</si>
  <si>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</si>
  <si>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</si>
  <si>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</si>
  <si>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</si>
  <si>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</si>
  <si>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</si>
  <si>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</si>
  <si>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</si>
  <si>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</si>
  <si>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</si>
  <si>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</si>
  <si>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</si>
  <si>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</si>
  <si>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</si>
  <si>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</si>
  <si>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</si>
  <si>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</si>
  <si>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</si>
  <si>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</si>
  <si>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</si>
  <si>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</si>
  <si>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</si>
  <si>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</si>
  <si>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</si>
  <si>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</si>
  <si>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</si>
  <si>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</si>
  <si>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</si>
  <si>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</si>
  <si>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</si>
  <si>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</si>
  <si>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</si>
  <si>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</si>
  <si>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</si>
  <si>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</si>
  <si>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</si>
  <si>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</si>
  <si>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</si>
  <si>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</si>
  <si>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</si>
  <si>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</si>
  <si>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</si>
  <si>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</si>
  <si>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</si>
  <si>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</si>
  <si>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</si>
  <si>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</si>
  <si>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</si>
  <si>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</si>
  <si>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</si>
  <si>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</si>
  <si>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</si>
  <si>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</si>
  <si>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</si>
  <si>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</si>
  <si>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</si>
  <si>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</si>
  <si>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</si>
  <si>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</si>
  <si>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</si>
  <si>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</si>
  <si>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</si>
  <si>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</si>
  <si>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</si>
  <si>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</si>
  <si>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</si>
  <si>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</si>
  <si>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</si>
  <si>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</si>
  <si>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</si>
  <si>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</si>
  <si>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</si>
  <si>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</si>
  <si>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</si>
  <si>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</si>
  <si>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</si>
  <si>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</si>
  <si>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</si>
  <si>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</si>
  <si>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</si>
  <si>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</si>
  <si>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</si>
  <si>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</si>
  <si>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</si>
  <si>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</si>
  <si>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</si>
  <si>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</si>
  <si>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</si>
  <si>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</si>
  <si>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</si>
  <si>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</si>
  <si>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</si>
  <si>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</si>
  <si>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</si>
  <si>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</si>
  <si>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</si>
  <si>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</si>
  <si>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</si>
  <si>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</si>
  <si>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</si>
  <si>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</si>
  <si>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</si>
  <si>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</si>
  <si>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</si>
  <si>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</si>
  <si>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</si>
  <si>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</si>
  <si>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</si>
  <si>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</si>
  <si>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</si>
  <si>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</si>
  <si>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</si>
  <si>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</si>
  <si>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</si>
  <si>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</si>
  <si>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</si>
  <si>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</si>
  <si>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</si>
  <si>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</si>
  <si>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</si>
  <si>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</si>
  <si>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</si>
  <si>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</si>
  <si>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</si>
  <si>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</si>
  <si>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</si>
  <si>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</si>
  <si>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</si>
  <si>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</si>
  <si>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</si>
  <si>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</si>
  <si>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</si>
  <si>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</si>
  <si>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</si>
  <si>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</si>
  <si>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</si>
  <si>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Insurance Company of Florida, Inc.</t>
  </si>
  <si>
    <t>HUMANA GRP</t>
  </si>
  <si>
    <t>Humana</t>
  </si>
  <si>
    <t>119</t>
  </si>
  <si>
    <t>2015</t>
  </si>
  <si>
    <t>3501 SW 160th Avenue Miramar, FL 33027</t>
  </si>
  <si>
    <t>611041514</t>
  </si>
  <si>
    <t>069671</t>
  </si>
  <si>
    <t>69671</t>
  </si>
  <si>
    <t>214</t>
  </si>
  <si>
    <t>Humana Employers Health Plan of Georgia, Inc.</t>
  </si>
  <si>
    <t>Humana Health Plan of Texas, Inc.</t>
  </si>
  <si>
    <t>Humana Insurance Company</t>
  </si>
  <si>
    <t>Humana Medical Plan, Inc.</t>
  </si>
  <si>
    <t>Humana Wisconsin Health Organization Insurance Corporation</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</si>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</sst>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58238318</v>
      </c>
      <c r="E5" s="213">
        <f>SUM('Pt 2 Premium and Claims'!E$5,'Pt 2 Premium and Claims'!E$6,-'Pt 2 Premium and Claims'!E$7,-'Pt 2 Premium and Claims'!E$13,'Pt 2 Premium and Claims'!E$14:'Pt 2 Premium and Claims'!E$17)</f>
        <v>59141630.939999998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4818799</v>
      </c>
      <c r="K5" s="213">
        <f>SUM('Pt 2 Premium and Claims'!K$5,'Pt 2 Premium and Claims'!K$6,-'Pt 2 Premium and Claims'!K$7,-'Pt 2 Premium and Claims'!K$13,'Pt 2 Premium and Claims'!K$14,'Pt 2 Premium and Claims'!K$16:'Pt 2 Premium and Claims'!K$17)</f>
        <v>4853841.46</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9801414</v>
      </c>
      <c r="Q5" s="213">
        <f>SUM('Pt 2 Premium and Claims'!Q$5,'Pt 2 Premium and Claims'!Q$6,-'Pt 2 Premium and Claims'!Q$7,-'Pt 2 Premium and Claims'!Q$13,'Pt 2 Premium and Claims'!Q$14)</f>
        <v>9815671.5800000001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16975006</v>
      </c>
      <c r="AU5" s="214">
        <f>SUM('Pt 2 Premium and Claims'!AU$5,'Pt 2 Premium and Claims'!AU$6,-'Pt 2 Premium and Claims'!AU$7,-'Pt 2 Premium and Claims'!AU$13,'Pt 2 Premium and Claims'!AU$14)</f>
        <v>178116887</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-52215</v>
      </c>
      <c r="E7" s="217">
        <v>-52214.59</v>
      </c>
      <c r="F7" s="217"/>
      <c r="G7" s="217"/>
      <c r="H7" s="217"/>
      <c r="I7" s="216"/>
      <c r="J7" s="216">
        <v>-2411</v>
      </c>
      <c r="K7" s="217">
        <v>-2411.42</v>
      </c>
      <c r="L7" s="217"/>
      <c r="M7" s="217"/>
      <c r="N7" s="217"/>
      <c r="O7" s="216"/>
      <c r="P7" s="216">
        <v>-11372</v>
      </c>
      <c r="Q7" s="217">
        <v>-11371.79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-6099</v>
      </c>
      <c r="AU7" s="220">
        <v>0</v>
      </c>
      <c r="AV7" s="290"/>
      <c r="AW7" s="297"/>
    </row>
    <row r="8" spans="1:49" ht="25.5" x14ac:dyDescent="0.2">
      <c r="B8" s="239" t="s">
        <v>225</v>
      </c>
      <c r="C8" s="203" t="s">
        <v>59</v>
      </c>
      <c r="D8" s="216">
        <v>-225010</v>
      </c>
      <c r="E8" s="268"/>
      <c r="F8" s="269"/>
      <c r="G8" s="269"/>
      <c r="H8" s="269"/>
      <c r="I8" s="272"/>
      <c r="J8" s="216">
        <v>-4950</v>
      </c>
      <c r="K8" s="268"/>
      <c r="L8" s="269"/>
      <c r="M8" s="269"/>
      <c r="N8" s="269"/>
      <c r="O8" s="272"/>
      <c r="P8" s="216">
        <v>-11689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-185185</v>
      </c>
      <c r="AU8" s="220">
        <v>-248594</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45438634</v>
      </c>
      <c r="E12" s="213">
        <f>'Pt 2 Premium and Claims'!E$54</f>
        <v>44044679.379999995</v>
      </c>
      <c r="F12" s="213">
        <f>'Pt 2 Premium and Claims'!F$54</f>
        <v>0</v>
      </c>
      <c r="G12" s="213">
        <f>'Pt 2 Premium and Claims'!G$54</f>
        <v>0</v>
      </c>
      <c r="H12" s="213">
        <f>'Pt 2 Premium and Claims'!H$54</f>
        <v>0</v>
      </c>
      <c r="I12" s="212">
        <f>'Pt 2 Premium and Claims'!I$54</f>
        <v>0</v>
      </c>
      <c r="J12" s="212">
        <f>'Pt 2 Premium and Claims'!J$54</f>
        <v>2013009</v>
      </c>
      <c r="K12" s="213">
        <f>'Pt 2 Premium and Claims'!K$54</f>
        <v>3079474.07</v>
      </c>
      <c r="L12" s="213">
        <f>'Pt 2 Premium and Claims'!L$54</f>
        <v>0</v>
      </c>
      <c r="M12" s="213">
        <f>'Pt 2 Premium and Claims'!M$54</f>
        <v>0</v>
      </c>
      <c r="N12" s="213">
        <f>'Pt 2 Premium and Claims'!N$54</f>
        <v>0</v>
      </c>
      <c r="O12" s="212">
        <f>'Pt 2 Premium and Claims'!O$54</f>
        <v>0</v>
      </c>
      <c r="P12" s="212">
        <f>'Pt 2 Premium and Claims'!P$54</f>
        <v>6462652</v>
      </c>
      <c r="Q12" s="213">
        <f>'Pt 2 Premium and Claims'!Q$54</f>
        <v>5861122.6899999995</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10784534</v>
      </c>
      <c r="AU12" s="214">
        <f>'Pt 2 Premium and Claims'!AU$54</f>
        <v>155484068</v>
      </c>
      <c r="AV12" s="291"/>
      <c r="AW12" s="296"/>
    </row>
    <row r="13" spans="1:49" ht="25.5" x14ac:dyDescent="0.2">
      <c r="B13" s="239" t="s">
        <v>230</v>
      </c>
      <c r="C13" s="203" t="s">
        <v>37</v>
      </c>
      <c r="D13" s="216">
        <v>8278006</v>
      </c>
      <c r="E13" s="217">
        <v>8327085.96</v>
      </c>
      <c r="F13" s="217"/>
      <c r="G13" s="268"/>
      <c r="H13" s="269"/>
      <c r="I13" s="216"/>
      <c r="J13" s="216">
        <v>1233644</v>
      </c>
      <c r="K13" s="217">
        <v>1233099.6000000001</v>
      </c>
      <c r="L13" s="217"/>
      <c r="M13" s="268"/>
      <c r="N13" s="269"/>
      <c r="O13" s="216"/>
      <c r="P13" s="216">
        <v>1375986</v>
      </c>
      <c r="Q13" s="217">
        <v>1395162.39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1919</v>
      </c>
      <c r="AU13" s="220">
        <v>18407637</v>
      </c>
      <c r="AV13" s="290"/>
      <c r="AW13" s="297"/>
    </row>
    <row r="14" spans="1:49" ht="25.5" x14ac:dyDescent="0.2">
      <c r="B14" s="239" t="s">
        <v>231</v>
      </c>
      <c r="C14" s="203" t="s">
        <v>6</v>
      </c>
      <c r="D14" s="216">
        <v>1029937</v>
      </c>
      <c r="E14" s="217">
        <v>1039262.06</v>
      </c>
      <c r="F14" s="217"/>
      <c r="G14" s="267"/>
      <c r="H14" s="270"/>
      <c r="I14" s="216"/>
      <c r="J14" s="216">
        <v>224675</v>
      </c>
      <c r="K14" s="217">
        <v>218017.32</v>
      </c>
      <c r="L14" s="217"/>
      <c r="M14" s="267"/>
      <c r="N14" s="270"/>
      <c r="O14" s="216"/>
      <c r="P14" s="216">
        <v>120253</v>
      </c>
      <c r="Q14" s="217">
        <v>122605.69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-182</v>
      </c>
      <c r="AU14" s="220">
        <v>4828400</v>
      </c>
      <c r="AV14" s="290"/>
      <c r="AW14" s="297"/>
    </row>
    <row r="15" spans="1:49" ht="38.25" x14ac:dyDescent="0.2">
      <c r="B15" s="239" t="s">
        <v>232</v>
      </c>
      <c r="C15" s="203" t="s">
        <v>7</v>
      </c>
      <c r="D15" s="216">
        <v>766</v>
      </c>
      <c r="E15" s="217">
        <v>766.29</v>
      </c>
      <c r="F15" s="217"/>
      <c r="G15" s="267"/>
      <c r="H15" s="273"/>
      <c r="I15" s="216"/>
      <c r="J15" s="216">
        <v>62</v>
      </c>
      <c r="K15" s="217">
        <v>61.86</v>
      </c>
      <c r="L15" s="217"/>
      <c r="M15" s="267"/>
      <c r="N15" s="273"/>
      <c r="O15" s="216"/>
      <c r="P15" s="216">
        <v>142</v>
      </c>
      <c r="Q15" s="217">
        <v>142.21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219</v>
      </c>
      <c r="AU15" s="220">
        <v>2305</v>
      </c>
      <c r="AV15" s="290"/>
      <c r="AW15" s="297"/>
    </row>
    <row r="16" spans="1:49" ht="25.5" x14ac:dyDescent="0.2">
      <c r="B16" s="239" t="s">
        <v>233</v>
      </c>
      <c r="C16" s="203" t="s">
        <v>61</v>
      </c>
      <c r="D16" s="216">
        <v>-1755772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-304167</v>
      </c>
      <c r="AV16" s="290"/>
      <c r="AW16" s="297"/>
    </row>
    <row r="17" spans="1:49" x14ac:dyDescent="0.2">
      <c r="B17" s="239" t="s">
        <v>234</v>
      </c>
      <c r="C17" s="203" t="s">
        <v>62</v>
      </c>
      <c r="D17" s="216">
        <v>-1337576</v>
      </c>
      <c r="E17" s="267"/>
      <c r="F17" s="270"/>
      <c r="G17" s="270"/>
      <c r="H17" s="270"/>
      <c r="I17" s="271"/>
      <c r="J17" s="216">
        <v>602523</v>
      </c>
      <c r="K17" s="267"/>
      <c r="L17" s="270"/>
      <c r="M17" s="270"/>
      <c r="N17" s="270"/>
      <c r="O17" s="271"/>
      <c r="P17" s="216">
        <v>-852578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2037576</v>
      </c>
      <c r="E18" s="267"/>
      <c r="F18" s="270"/>
      <c r="G18" s="270"/>
      <c r="H18" s="273"/>
      <c r="I18" s="271"/>
      <c r="J18" s="216">
        <v>143333</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1581503</v>
      </c>
      <c r="E19" s="267"/>
      <c r="F19" s="270"/>
      <c r="G19" s="270"/>
      <c r="H19" s="270"/>
      <c r="I19" s="271"/>
      <c r="J19" s="216">
        <v>752109</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849502</v>
      </c>
      <c r="E20" s="267"/>
      <c r="F20" s="270"/>
      <c r="G20" s="270"/>
      <c r="H20" s="270"/>
      <c r="I20" s="271"/>
      <c r="J20" s="216">
        <v>6254</v>
      </c>
      <c r="K20" s="267"/>
      <c r="L20" s="270"/>
      <c r="M20" s="270"/>
      <c r="N20" s="270"/>
      <c r="O20" s="271"/>
      <c r="P20" s="216">
        <v>578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98428.39</v>
      </c>
      <c r="E22" s="222">
        <f>'Pt 2 Premium and Claims'!E$55</f>
        <v>98428.39</v>
      </c>
      <c r="F22" s="222">
        <f>'Pt 2 Premium and Claims'!F$55</f>
        <v>0</v>
      </c>
      <c r="G22" s="222">
        <f>'Pt 2 Premium and Claims'!G$55</f>
        <v>0</v>
      </c>
      <c r="H22" s="222">
        <f>'Pt 2 Premium and Claims'!H$55</f>
        <v>0</v>
      </c>
      <c r="I22" s="221">
        <f>'Pt 2 Premium and Claims'!I$55</f>
        <v>0</v>
      </c>
      <c r="J22" s="221">
        <f>'Pt 2 Premium and Claims'!J$55</f>
        <v>4268.45</v>
      </c>
      <c r="K22" s="222">
        <f>'Pt 2 Premium and Claims'!K$55</f>
        <v>4264.88</v>
      </c>
      <c r="L22" s="222">
        <f>'Pt 2 Premium and Claims'!L$55</f>
        <v>0</v>
      </c>
      <c r="M22" s="222">
        <f>'Pt 2 Premium and Claims'!M$55</f>
        <v>0</v>
      </c>
      <c r="N22" s="222">
        <f>'Pt 2 Premium and Claims'!N$55</f>
        <v>0</v>
      </c>
      <c r="O22" s="221">
        <f>'Pt 2 Premium and Claims'!O$55</f>
        <v>0</v>
      </c>
      <c r="P22" s="221">
        <f>'Pt 2 Premium and Claims'!P$55</f>
        <v>12823.82</v>
      </c>
      <c r="Q22" s="222">
        <f>'Pt 2 Premium and Claims'!Q$55</f>
        <v>12827.39</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53651.46</v>
      </c>
      <c r="E25" s="217">
        <v>53659.42</v>
      </c>
      <c r="F25" s="217"/>
      <c r="G25" s="217"/>
      <c r="H25" s="217"/>
      <c r="I25" s="216"/>
      <c r="J25" s="216">
        <v>411524.56</v>
      </c>
      <c r="K25" s="217">
        <v>409305.07</v>
      </c>
      <c r="L25" s="217"/>
      <c r="M25" s="217"/>
      <c r="N25" s="217"/>
      <c r="O25" s="216"/>
      <c r="P25" s="216">
        <v>640956.52</v>
      </c>
      <c r="Q25" s="217">
        <v>643169.09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717400.44</v>
      </c>
      <c r="AU25" s="220">
        <v>601551.5</v>
      </c>
      <c r="AV25" s="220"/>
      <c r="AW25" s="297"/>
    </row>
    <row r="26" spans="1:49" s="5" customFormat="1" x14ac:dyDescent="0.2">
      <c r="A26" s="35"/>
      <c r="B26" s="242" t="s">
        <v>242</v>
      </c>
      <c r="C26" s="203"/>
      <c r="D26" s="216">
        <v>45452.35</v>
      </c>
      <c r="E26" s="217">
        <v>45452.35</v>
      </c>
      <c r="F26" s="217"/>
      <c r="G26" s="217"/>
      <c r="H26" s="217"/>
      <c r="I26" s="216"/>
      <c r="J26" s="216">
        <v>2115.33</v>
      </c>
      <c r="K26" s="217">
        <v>2095.75</v>
      </c>
      <c r="L26" s="217"/>
      <c r="M26" s="217"/>
      <c r="N26" s="217"/>
      <c r="O26" s="216"/>
      <c r="P26" s="216">
        <v>5006.05</v>
      </c>
      <c r="Q26" s="217">
        <v>5025.6400000000003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971768.59</v>
      </c>
      <c r="E27" s="217">
        <v>971768.59</v>
      </c>
      <c r="F27" s="217"/>
      <c r="G27" s="217"/>
      <c r="H27" s="217"/>
      <c r="I27" s="216"/>
      <c r="J27" s="216">
        <v>79657.88</v>
      </c>
      <c r="K27" s="217">
        <v>79581.45</v>
      </c>
      <c r="L27" s="217"/>
      <c r="M27" s="217"/>
      <c r="N27" s="217"/>
      <c r="O27" s="216"/>
      <c r="P27" s="216">
        <v>175743.15</v>
      </c>
      <c r="Q27" s="217">
        <v>175819.58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2960287.75</v>
      </c>
      <c r="AV27" s="293"/>
      <c r="AW27" s="297"/>
    </row>
    <row r="28" spans="1:49" s="5" customFormat="1" x14ac:dyDescent="0.2">
      <c r="A28" s="35"/>
      <c r="B28" s="242" t="s">
        <v>244</v>
      </c>
      <c r="C28" s="203"/>
      <c r="D28" s="216">
        <v>126128.96000000001</v>
      </c>
      <c r="E28" s="217">
        <v>126128.96000000001</v>
      </c>
      <c r="F28" s="217"/>
      <c r="G28" s="217"/>
      <c r="H28" s="217"/>
      <c r="I28" s="216"/>
      <c r="J28" s="216">
        <v>4484.7299999999996</v>
      </c>
      <c r="K28" s="217">
        <v>4796.2299999999996</v>
      </c>
      <c r="L28" s="217"/>
      <c r="M28" s="217"/>
      <c r="N28" s="217"/>
      <c r="O28" s="216"/>
      <c r="P28" s="216">
        <v>-5183.5600000000004</v>
      </c>
      <c r="Q28" s="217">
        <v>-5495.06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30923.24</v>
      </c>
      <c r="AU28" s="220">
        <v>234019.17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19747.310000000001</v>
      </c>
      <c r="E30" s="217">
        <v>19747.91</v>
      </c>
      <c r="F30" s="217"/>
      <c r="G30" s="217"/>
      <c r="H30" s="217"/>
      <c r="I30" s="216"/>
      <c r="J30" s="216">
        <v>31740.720000000001</v>
      </c>
      <c r="K30" s="217">
        <v>31608.42</v>
      </c>
      <c r="L30" s="217"/>
      <c r="M30" s="217"/>
      <c r="N30" s="217"/>
      <c r="O30" s="216"/>
      <c r="P30" s="216">
        <v>48054.58</v>
      </c>
      <c r="Q30" s="217">
        <v>48186.36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57884.38</v>
      </c>
      <c r="AU30" s="220">
        <v>73912.5</v>
      </c>
      <c r="AV30" s="220"/>
      <c r="AW30" s="297"/>
    </row>
    <row r="31" spans="1:49" x14ac:dyDescent="0.2">
      <c r="B31" s="242" t="s">
        <v>247</v>
      </c>
      <c r="C31" s="203"/>
      <c r="D31" s="216">
        <v>306021.98</v>
      </c>
      <c r="E31" s="217">
        <v>306021.98</v>
      </c>
      <c r="F31" s="217"/>
      <c r="G31" s="217"/>
      <c r="H31" s="217"/>
      <c r="I31" s="216"/>
      <c r="J31" s="216">
        <v>23585.16</v>
      </c>
      <c r="K31" s="217">
        <v>23564.59</v>
      </c>
      <c r="L31" s="217"/>
      <c r="M31" s="217"/>
      <c r="N31" s="217"/>
      <c r="O31" s="216"/>
      <c r="P31" s="216">
        <v>50550.1</v>
      </c>
      <c r="Q31" s="217">
        <v>50570.67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82820.7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790899.46</v>
      </c>
      <c r="E34" s="217">
        <v>877632.03</v>
      </c>
      <c r="F34" s="217"/>
      <c r="G34" s="217"/>
      <c r="H34" s="217"/>
      <c r="I34" s="216"/>
      <c r="J34" s="216">
        <v>27924.2</v>
      </c>
      <c r="K34" s="217">
        <v>27924.2</v>
      </c>
      <c r="L34" s="217"/>
      <c r="M34" s="217"/>
      <c r="N34" s="217"/>
      <c r="O34" s="216"/>
      <c r="P34" s="216">
        <v>73409.119999999995</v>
      </c>
      <c r="Q34" s="217">
        <v>73409.119999999995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41315.160000000003</v>
      </c>
      <c r="E35" s="217">
        <v>41315.160000000003</v>
      </c>
      <c r="F35" s="217"/>
      <c r="G35" s="217"/>
      <c r="H35" s="217"/>
      <c r="I35" s="216"/>
      <c r="J35" s="216">
        <v>1803.36</v>
      </c>
      <c r="K35" s="217">
        <v>1897.96</v>
      </c>
      <c r="L35" s="217"/>
      <c r="M35" s="217"/>
      <c r="N35" s="217"/>
      <c r="O35" s="216"/>
      <c r="P35" s="216">
        <v>-1458.38</v>
      </c>
      <c r="Q35" s="217">
        <v>-1552.98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9616.52</v>
      </c>
      <c r="AU35" s="220">
        <v>73238.5</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251469</v>
      </c>
      <c r="E37" s="225">
        <v>251470.19</v>
      </c>
      <c r="F37" s="225"/>
      <c r="G37" s="225"/>
      <c r="H37" s="225"/>
      <c r="I37" s="224"/>
      <c r="J37" s="224">
        <v>29429</v>
      </c>
      <c r="K37" s="225">
        <v>29426.71</v>
      </c>
      <c r="L37" s="225"/>
      <c r="M37" s="225"/>
      <c r="N37" s="225"/>
      <c r="O37" s="224"/>
      <c r="P37" s="224">
        <v>225552</v>
      </c>
      <c r="Q37" s="225">
        <v>225554.51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857</v>
      </c>
      <c r="AU37" s="226">
        <v>1667311</v>
      </c>
      <c r="AV37" s="226">
        <v>0</v>
      </c>
      <c r="AW37" s="296"/>
    </row>
    <row r="38" spans="1:49" x14ac:dyDescent="0.2">
      <c r="B38" s="239" t="s">
        <v>254</v>
      </c>
      <c r="C38" s="203" t="s">
        <v>16</v>
      </c>
      <c r="D38" s="216">
        <v>39789</v>
      </c>
      <c r="E38" s="217">
        <v>39789.15</v>
      </c>
      <c r="F38" s="217"/>
      <c r="G38" s="217"/>
      <c r="H38" s="217"/>
      <c r="I38" s="216"/>
      <c r="J38" s="216">
        <v>316</v>
      </c>
      <c r="K38" s="217">
        <v>316.01</v>
      </c>
      <c r="L38" s="217"/>
      <c r="M38" s="217"/>
      <c r="N38" s="217"/>
      <c r="O38" s="216"/>
      <c r="P38" s="216">
        <v>4195</v>
      </c>
      <c r="Q38" s="217">
        <v>4194.6400000000003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744238</v>
      </c>
      <c r="AV38" s="220">
        <v>0</v>
      </c>
      <c r="AW38" s="297"/>
    </row>
    <row r="39" spans="1:49" x14ac:dyDescent="0.2">
      <c r="B39" s="242" t="s">
        <v>255</v>
      </c>
      <c r="C39" s="203" t="s">
        <v>17</v>
      </c>
      <c r="D39" s="216">
        <v>86796</v>
      </c>
      <c r="E39" s="217">
        <v>86796.87</v>
      </c>
      <c r="F39" s="217"/>
      <c r="G39" s="217"/>
      <c r="H39" s="217"/>
      <c r="I39" s="216"/>
      <c r="J39" s="216">
        <v>3180</v>
      </c>
      <c r="K39" s="217">
        <v>3178.77</v>
      </c>
      <c r="L39" s="217"/>
      <c r="M39" s="217"/>
      <c r="N39" s="217"/>
      <c r="O39" s="216"/>
      <c r="P39" s="216">
        <v>9278</v>
      </c>
      <c r="Q39" s="217">
        <v>9278.93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3258</v>
      </c>
      <c r="AU39" s="220">
        <v>324799</v>
      </c>
      <c r="AV39" s="220">
        <v>0</v>
      </c>
      <c r="AW39" s="297"/>
    </row>
    <row r="40" spans="1:49" x14ac:dyDescent="0.2">
      <c r="B40" s="242" t="s">
        <v>256</v>
      </c>
      <c r="C40" s="203" t="s">
        <v>38</v>
      </c>
      <c r="D40" s="216">
        <v>380552</v>
      </c>
      <c r="E40" s="217">
        <v>380551.97</v>
      </c>
      <c r="F40" s="217"/>
      <c r="G40" s="217"/>
      <c r="H40" s="217"/>
      <c r="I40" s="216"/>
      <c r="J40" s="216">
        <v>112305</v>
      </c>
      <c r="K40" s="217">
        <v>111708.14</v>
      </c>
      <c r="L40" s="217"/>
      <c r="M40" s="217"/>
      <c r="N40" s="217"/>
      <c r="O40" s="216"/>
      <c r="P40" s="216">
        <v>291362</v>
      </c>
      <c r="Q40" s="217">
        <v>291959.08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94423</v>
      </c>
      <c r="AU40" s="220">
        <v>1535406</v>
      </c>
      <c r="AV40" s="220">
        <v>0</v>
      </c>
      <c r="AW40" s="297"/>
    </row>
    <row r="41" spans="1:49" s="5" customFormat="1" ht="25.5" x14ac:dyDescent="0.2">
      <c r="A41" s="35"/>
      <c r="B41" s="242" t="s">
        <v>257</v>
      </c>
      <c r="C41" s="203" t="s">
        <v>129</v>
      </c>
      <c r="D41" s="216">
        <v>138529</v>
      </c>
      <c r="E41" s="217">
        <v>138528.91</v>
      </c>
      <c r="F41" s="217"/>
      <c r="G41" s="217"/>
      <c r="H41" s="217"/>
      <c r="I41" s="216"/>
      <c r="J41" s="216">
        <v>4190</v>
      </c>
      <c r="K41" s="217">
        <v>4186.33</v>
      </c>
      <c r="L41" s="217"/>
      <c r="M41" s="217"/>
      <c r="N41" s="217"/>
      <c r="O41" s="216"/>
      <c r="P41" s="216">
        <v>11021</v>
      </c>
      <c r="Q41" s="217">
        <v>11024.18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18572</v>
      </c>
      <c r="AU41" s="220">
        <v>208304</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649056</v>
      </c>
      <c r="E44" s="225">
        <v>649056.30000000005</v>
      </c>
      <c r="F44" s="225"/>
      <c r="G44" s="225"/>
      <c r="H44" s="225"/>
      <c r="I44" s="224"/>
      <c r="J44" s="224">
        <v>82516</v>
      </c>
      <c r="K44" s="225">
        <v>82501.78</v>
      </c>
      <c r="L44" s="225"/>
      <c r="M44" s="225"/>
      <c r="N44" s="225"/>
      <c r="O44" s="224"/>
      <c r="P44" s="224">
        <v>111209</v>
      </c>
      <c r="Q44" s="225">
        <v>111223.31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20141</v>
      </c>
      <c r="AU44" s="226">
        <v>2460849</v>
      </c>
      <c r="AV44" s="226">
        <v>0</v>
      </c>
      <c r="AW44" s="296"/>
    </row>
    <row r="45" spans="1:49" x14ac:dyDescent="0.2">
      <c r="B45" s="245" t="s">
        <v>261</v>
      </c>
      <c r="C45" s="203" t="s">
        <v>19</v>
      </c>
      <c r="D45" s="216">
        <v>2006346</v>
      </c>
      <c r="E45" s="217">
        <v>2006346.21</v>
      </c>
      <c r="F45" s="217"/>
      <c r="G45" s="217"/>
      <c r="H45" s="217"/>
      <c r="I45" s="216"/>
      <c r="J45" s="216">
        <v>-4347</v>
      </c>
      <c r="K45" s="217">
        <v>-9800.59</v>
      </c>
      <c r="L45" s="217"/>
      <c r="M45" s="217"/>
      <c r="N45" s="217"/>
      <c r="O45" s="216"/>
      <c r="P45" s="216">
        <v>10562</v>
      </c>
      <c r="Q45" s="217">
        <v>16015.15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143934</v>
      </c>
      <c r="AU45" s="220">
        <v>1207432</v>
      </c>
      <c r="AV45" s="220">
        <v>0</v>
      </c>
      <c r="AW45" s="297"/>
    </row>
    <row r="46" spans="1:49" x14ac:dyDescent="0.2">
      <c r="B46" s="245" t="s">
        <v>262</v>
      </c>
      <c r="C46" s="203" t="s">
        <v>20</v>
      </c>
      <c r="D46" s="216">
        <v>110076</v>
      </c>
      <c r="E46" s="217">
        <v>110076.46</v>
      </c>
      <c r="F46" s="217"/>
      <c r="G46" s="217"/>
      <c r="H46" s="217"/>
      <c r="I46" s="216"/>
      <c r="J46" s="216">
        <v>15420</v>
      </c>
      <c r="K46" s="217">
        <v>15408.63</v>
      </c>
      <c r="L46" s="217"/>
      <c r="M46" s="217"/>
      <c r="N46" s="217"/>
      <c r="O46" s="216"/>
      <c r="P46" s="216">
        <v>54271</v>
      </c>
      <c r="Q46" s="217">
        <v>54282.67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19183</v>
      </c>
      <c r="AU46" s="220">
        <v>755844</v>
      </c>
      <c r="AV46" s="220">
        <v>0</v>
      </c>
      <c r="AW46" s="297"/>
    </row>
    <row r="47" spans="1:49" x14ac:dyDescent="0.2">
      <c r="B47" s="245" t="s">
        <v>263</v>
      </c>
      <c r="C47" s="203" t="s">
        <v>21</v>
      </c>
      <c r="D47" s="216">
        <v>2395676</v>
      </c>
      <c r="E47" s="217">
        <v>2395675.6800000002</v>
      </c>
      <c r="F47" s="217"/>
      <c r="G47" s="217"/>
      <c r="H47" s="217"/>
      <c r="I47" s="216"/>
      <c r="J47" s="216">
        <v>160077</v>
      </c>
      <c r="K47" s="217">
        <v>160192.72</v>
      </c>
      <c r="L47" s="217"/>
      <c r="M47" s="217"/>
      <c r="N47" s="217"/>
      <c r="O47" s="216"/>
      <c r="P47" s="216">
        <v>85810</v>
      </c>
      <c r="Q47" s="217">
        <v>85694.22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1622832</v>
      </c>
      <c r="AU47" s="220">
        <v>796222</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-8897.9599999999991</v>
      </c>
      <c r="E49" s="217">
        <v>-8897.9599999999991</v>
      </c>
      <c r="F49" s="217"/>
      <c r="G49" s="217"/>
      <c r="H49" s="217"/>
      <c r="I49" s="216"/>
      <c r="J49" s="216">
        <v>24083.14</v>
      </c>
      <c r="K49" s="217">
        <v>24082.9</v>
      </c>
      <c r="L49" s="217"/>
      <c r="M49" s="217"/>
      <c r="N49" s="217"/>
      <c r="O49" s="216"/>
      <c r="P49" s="216">
        <v>26930.52</v>
      </c>
      <c r="Q49" s="217">
        <v>26930.76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30462</v>
      </c>
      <c r="AU49" s="220">
        <v>36291.730000000003</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6176.36</v>
      </c>
      <c r="AV50" s="220"/>
      <c r="AW50" s="297"/>
    </row>
    <row r="51" spans="2:49" x14ac:dyDescent="0.2">
      <c r="B51" s="239" t="s">
        <v>266</v>
      </c>
      <c r="C51" s="203"/>
      <c r="D51" s="216">
        <v>5111970</v>
      </c>
      <c r="E51" s="217">
        <v>5111970.1399999997</v>
      </c>
      <c r="F51" s="217"/>
      <c r="G51" s="217"/>
      <c r="H51" s="217"/>
      <c r="I51" s="216"/>
      <c r="J51" s="216">
        <v>190857</v>
      </c>
      <c r="K51" s="217">
        <v>201104.53</v>
      </c>
      <c r="L51" s="217"/>
      <c r="M51" s="217"/>
      <c r="N51" s="217"/>
      <c r="O51" s="216"/>
      <c r="P51" s="216">
        <v>-194986</v>
      </c>
      <c r="Q51" s="217">
        <v>-205233.22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1059862</v>
      </c>
      <c r="AU51" s="220">
        <v>7371802</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10496</v>
      </c>
      <c r="E56" s="229">
        <v>10496</v>
      </c>
      <c r="F56" s="229"/>
      <c r="G56" s="229"/>
      <c r="H56" s="229"/>
      <c r="I56" s="228"/>
      <c r="J56" s="228">
        <v>389</v>
      </c>
      <c r="K56" s="229">
        <v>389</v>
      </c>
      <c r="L56" s="229"/>
      <c r="M56" s="229"/>
      <c r="N56" s="229"/>
      <c r="O56" s="228"/>
      <c r="P56" s="228">
        <v>765</v>
      </c>
      <c r="Q56" s="229">
        <v>765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27911</v>
      </c>
      <c r="AU56" s="230">
        <v>15551</v>
      </c>
      <c r="AV56" s="230">
        <v>0</v>
      </c>
      <c r="AW56" s="288"/>
    </row>
    <row r="57" spans="2:49" x14ac:dyDescent="0.2">
      <c r="B57" s="245" t="s">
        <v>272</v>
      </c>
      <c r="C57" s="203" t="s">
        <v>25</v>
      </c>
      <c r="D57" s="231">
        <v>18086</v>
      </c>
      <c r="E57" s="232">
        <v>18086</v>
      </c>
      <c r="F57" s="232"/>
      <c r="G57" s="232"/>
      <c r="H57" s="232"/>
      <c r="I57" s="231"/>
      <c r="J57" s="231">
        <v>632</v>
      </c>
      <c r="K57" s="232">
        <v>629</v>
      </c>
      <c r="L57" s="232"/>
      <c r="M57" s="232"/>
      <c r="N57" s="232"/>
      <c r="O57" s="231"/>
      <c r="P57" s="231">
        <v>1918</v>
      </c>
      <c r="Q57" s="232">
        <v>1921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49844</v>
      </c>
      <c r="AU57" s="233">
        <v>15551</v>
      </c>
      <c r="AV57" s="233">
        <v>0</v>
      </c>
      <c r="AW57" s="289"/>
    </row>
    <row r="58" spans="2:49" x14ac:dyDescent="0.2">
      <c r="B58" s="245" t="s">
        <v>273</v>
      </c>
      <c r="C58" s="203" t="s">
        <v>26</v>
      </c>
      <c r="D58" s="309"/>
      <c r="E58" s="310"/>
      <c r="F58" s="310"/>
      <c r="G58" s="310"/>
      <c r="H58" s="310"/>
      <c r="I58" s="309"/>
      <c r="J58" s="231">
        <v>111</v>
      </c>
      <c r="K58" s="232">
        <v>111</v>
      </c>
      <c r="L58" s="232"/>
      <c r="M58" s="232"/>
      <c r="N58" s="232"/>
      <c r="O58" s="231"/>
      <c r="P58" s="231">
        <v>23</v>
      </c>
      <c r="Q58" s="232">
        <v>23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24</v>
      </c>
      <c r="AU58" s="233">
        <v>140</v>
      </c>
      <c r="AV58" s="233">
        <v>0</v>
      </c>
      <c r="AW58" s="289"/>
    </row>
    <row r="59" spans="2:49" x14ac:dyDescent="0.2">
      <c r="B59" s="245" t="s">
        <v>274</v>
      </c>
      <c r="C59" s="203" t="s">
        <v>27</v>
      </c>
      <c r="D59" s="231">
        <v>231520</v>
      </c>
      <c r="E59" s="232">
        <v>231548</v>
      </c>
      <c r="F59" s="232"/>
      <c r="G59" s="232"/>
      <c r="H59" s="232"/>
      <c r="I59" s="231"/>
      <c r="J59" s="231">
        <v>7867</v>
      </c>
      <c r="K59" s="232">
        <v>7886</v>
      </c>
      <c r="L59" s="232"/>
      <c r="M59" s="232"/>
      <c r="N59" s="232"/>
      <c r="O59" s="231"/>
      <c r="P59" s="231">
        <v>20220</v>
      </c>
      <c r="Q59" s="232">
        <v>20244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538905</v>
      </c>
      <c r="AU59" s="233">
        <v>181340</v>
      </c>
      <c r="AV59" s="233">
        <v>0</v>
      </c>
      <c r="AW59" s="289"/>
    </row>
    <row r="60" spans="2:49" x14ac:dyDescent="0.2">
      <c r="B60" s="245" t="s">
        <v>275</v>
      </c>
      <c r="C60" s="203"/>
      <c r="D60" s="234">
        <f t="shared" ref="D60:AC60" si="0">D$59/12</f>
        <v>19293.333333333332</v>
      </c>
      <c r="E60" s="235">
        <f t="shared" si="0"/>
        <v>19295.666666666668</v>
      </c>
      <c r="F60" s="235">
        <f t="shared" si="0"/>
        <v>0</v>
      </c>
      <c r="G60" s="235">
        <f t="shared" si="0"/>
        <v>0</v>
      </c>
      <c r="H60" s="235">
        <f t="shared" si="0"/>
        <v>0</v>
      </c>
      <c r="I60" s="234">
        <f t="shared" si="0"/>
        <v>0</v>
      </c>
      <c r="J60" s="234">
        <f t="shared" si="0"/>
        <v>655.58333333333337</v>
      </c>
      <c r="K60" s="235">
        <f t="shared" si="0"/>
        <v>657.16666666666663</v>
      </c>
      <c r="L60" s="235">
        <f t="shared" si="0"/>
        <v>0</v>
      </c>
      <c r="M60" s="235">
        <f t="shared" si="0"/>
        <v>0</v>
      </c>
      <c r="N60" s="235">
        <f t="shared" si="0"/>
        <v>0</v>
      </c>
      <c r="O60" s="234">
        <f t="shared" si="0"/>
        <v>0</v>
      </c>
      <c r="P60" s="234">
        <f t="shared" si="0"/>
        <v>1685</v>
      </c>
      <c r="Q60" s="235">
        <f t="shared" si="0"/>
        <v>1687</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44908.75</v>
      </c>
      <c r="AU60" s="236">
        <f t="shared" si="1"/>
        <v>15111.666666666666</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58247885</v>
      </c>
      <c r="E5" s="326">
        <v>60196665.780000001</v>
      </c>
      <c r="F5" s="326"/>
      <c r="G5" s="328"/>
      <c r="H5" s="328"/>
      <c r="I5" s="325"/>
      <c r="J5" s="325">
        <v>4818799</v>
      </c>
      <c r="K5" s="326">
        <v>4977924.16</v>
      </c>
      <c r="L5" s="326"/>
      <c r="M5" s="326"/>
      <c r="N5" s="326"/>
      <c r="O5" s="325"/>
      <c r="P5" s="325">
        <v>9801414</v>
      </c>
      <c r="Q5" s="326">
        <v>9815671.5800000001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16975006</v>
      </c>
      <c r="AU5" s="327">
        <v>178116887</v>
      </c>
      <c r="AV5" s="369"/>
      <c r="AW5" s="373"/>
    </row>
    <row r="6" spans="2:49" x14ac:dyDescent="0.2">
      <c r="B6" s="343" t="s">
        <v>278</v>
      </c>
      <c r="C6" s="331" t="s">
        <v>8</v>
      </c>
      <c r="D6" s="318">
        <v>563700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573267</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2037576</v>
      </c>
      <c r="E9" s="362"/>
      <c r="F9" s="362"/>
      <c r="G9" s="362"/>
      <c r="H9" s="362"/>
      <c r="I9" s="364"/>
      <c r="J9" s="318">
        <v>143332</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1688527</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849502</v>
      </c>
      <c r="E11" s="319"/>
      <c r="F11" s="319"/>
      <c r="G11" s="319"/>
      <c r="H11" s="319"/>
      <c r="I11" s="318"/>
      <c r="J11" s="318">
        <v>6254</v>
      </c>
      <c r="K11" s="319"/>
      <c r="L11" s="319"/>
      <c r="M11" s="319"/>
      <c r="N11" s="319"/>
      <c r="O11" s="318"/>
      <c r="P11" s="318">
        <v>578</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1273632</v>
      </c>
      <c r="AV11" s="368"/>
      <c r="AW11" s="374"/>
    </row>
    <row r="12" spans="2:49" ht="15" customHeight="1" x14ac:dyDescent="0.2">
      <c r="B12" s="343" t="s">
        <v>282</v>
      </c>
      <c r="C12" s="331" t="s">
        <v>44</v>
      </c>
      <c r="D12" s="318">
        <v>1581503</v>
      </c>
      <c r="E12" s="363"/>
      <c r="F12" s="363"/>
      <c r="G12" s="363"/>
      <c r="H12" s="363"/>
      <c r="I12" s="365"/>
      <c r="J12" s="318">
        <v>752109</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1641266</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1206173.54</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-2261208.38</v>
      </c>
      <c r="F16" s="319"/>
      <c r="G16" s="319"/>
      <c r="H16" s="319"/>
      <c r="I16" s="318"/>
      <c r="J16" s="318"/>
      <c r="K16" s="319">
        <v>-124082.7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49576113</v>
      </c>
      <c r="E23" s="362"/>
      <c r="F23" s="362"/>
      <c r="G23" s="362"/>
      <c r="H23" s="362"/>
      <c r="I23" s="364"/>
      <c r="J23" s="318">
        <v>3505125</v>
      </c>
      <c r="K23" s="362"/>
      <c r="L23" s="362"/>
      <c r="M23" s="362"/>
      <c r="N23" s="362"/>
      <c r="O23" s="364"/>
      <c r="P23" s="318">
        <v>5722374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10036347</v>
      </c>
      <c r="AU23" s="321">
        <v>154024609</v>
      </c>
      <c r="AV23" s="368"/>
      <c r="AW23" s="374"/>
    </row>
    <row r="24" spans="2:49" ht="28.5" customHeight="1" x14ac:dyDescent="0.2">
      <c r="B24" s="345" t="s">
        <v>114</v>
      </c>
      <c r="C24" s="331"/>
      <c r="D24" s="365"/>
      <c r="E24" s="319">
        <v>46480593.920000002</v>
      </c>
      <c r="F24" s="319"/>
      <c r="G24" s="319"/>
      <c r="H24" s="319"/>
      <c r="I24" s="318"/>
      <c r="J24" s="365"/>
      <c r="K24" s="319">
        <v>4591606.3</v>
      </c>
      <c r="L24" s="319"/>
      <c r="M24" s="319"/>
      <c r="N24" s="319"/>
      <c r="O24" s="318"/>
      <c r="P24" s="365"/>
      <c r="Q24" s="319">
        <v>5419437.6900000004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5333568</v>
      </c>
      <c r="E26" s="362"/>
      <c r="F26" s="362"/>
      <c r="G26" s="362"/>
      <c r="H26" s="362"/>
      <c r="I26" s="364"/>
      <c r="J26" s="318">
        <v>492936</v>
      </c>
      <c r="K26" s="362"/>
      <c r="L26" s="362"/>
      <c r="M26" s="362"/>
      <c r="N26" s="362"/>
      <c r="O26" s="364"/>
      <c r="P26" s="318">
        <v>729401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2074857</v>
      </c>
      <c r="AU26" s="321">
        <v>14833903</v>
      </c>
      <c r="AV26" s="368"/>
      <c r="AW26" s="374"/>
    </row>
    <row r="27" spans="2:49" s="5" customFormat="1" ht="25.5" x14ac:dyDescent="0.2">
      <c r="B27" s="345" t="s">
        <v>85</v>
      </c>
      <c r="C27" s="331"/>
      <c r="D27" s="365"/>
      <c r="E27" s="319">
        <v>1121982.45</v>
      </c>
      <c r="F27" s="319"/>
      <c r="G27" s="319"/>
      <c r="H27" s="319"/>
      <c r="I27" s="318"/>
      <c r="J27" s="365"/>
      <c r="K27" s="319">
        <v>-1002638.79</v>
      </c>
      <c r="L27" s="319"/>
      <c r="M27" s="319"/>
      <c r="N27" s="319"/>
      <c r="O27" s="318"/>
      <c r="P27" s="365"/>
      <c r="Q27" s="319">
        <v>1070090.51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8169018</v>
      </c>
      <c r="E28" s="363"/>
      <c r="F28" s="363"/>
      <c r="G28" s="363"/>
      <c r="H28" s="363"/>
      <c r="I28" s="365"/>
      <c r="J28" s="318">
        <v>1090572</v>
      </c>
      <c r="K28" s="363"/>
      <c r="L28" s="363"/>
      <c r="M28" s="363"/>
      <c r="N28" s="363"/>
      <c r="O28" s="365"/>
      <c r="P28" s="318">
        <v>3191882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1522532</v>
      </c>
      <c r="AU28" s="321">
        <v>14061386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2880</v>
      </c>
      <c r="K30" s="362"/>
      <c r="L30" s="362"/>
      <c r="M30" s="362"/>
      <c r="N30" s="362"/>
      <c r="O30" s="364"/>
      <c r="P30" s="318">
        <v>1120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v>-6797.81</v>
      </c>
      <c r="L31" s="319"/>
      <c r="M31" s="319"/>
      <c r="N31" s="319"/>
      <c r="O31" s="318"/>
      <c r="P31" s="365"/>
      <c r="Q31" s="319">
        <v>797.81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9677</v>
      </c>
      <c r="K32" s="363"/>
      <c r="L32" s="363"/>
      <c r="M32" s="363"/>
      <c r="N32" s="363"/>
      <c r="O32" s="365"/>
      <c r="P32" s="318">
        <v>323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2090791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762846</v>
      </c>
      <c r="AU34" s="321">
        <v>0</v>
      </c>
      <c r="AV34" s="368"/>
      <c r="AW34" s="374"/>
    </row>
    <row r="35" spans="2:49" s="5" customFormat="1" x14ac:dyDescent="0.2">
      <c r="B35" s="345" t="s">
        <v>91</v>
      </c>
      <c r="C35" s="331"/>
      <c r="D35" s="365"/>
      <c r="E35" s="319">
        <v>2090790.66</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4609426</v>
      </c>
      <c r="E36" s="319">
        <v>4609425.59</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567177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2037576</v>
      </c>
      <c r="E38" s="362"/>
      <c r="F38" s="362"/>
      <c r="G38" s="362"/>
      <c r="H38" s="362"/>
      <c r="I38" s="364"/>
      <c r="J38" s="318">
        <v>143332</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1688527</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849502</v>
      </c>
      <c r="E41" s="362"/>
      <c r="F41" s="362"/>
      <c r="G41" s="362"/>
      <c r="H41" s="362"/>
      <c r="I41" s="364"/>
      <c r="J41" s="318">
        <v>6254</v>
      </c>
      <c r="K41" s="362"/>
      <c r="L41" s="362"/>
      <c r="M41" s="362"/>
      <c r="N41" s="362"/>
      <c r="O41" s="364"/>
      <c r="P41" s="318">
        <v>578</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1273632</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1581503</v>
      </c>
      <c r="E43" s="363"/>
      <c r="F43" s="363"/>
      <c r="G43" s="363"/>
      <c r="H43" s="363"/>
      <c r="I43" s="365"/>
      <c r="J43" s="318">
        <v>752109</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1641266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365393</v>
      </c>
      <c r="E49" s="319">
        <v>1039262.06</v>
      </c>
      <c r="F49" s="319"/>
      <c r="G49" s="319"/>
      <c r="H49" s="319"/>
      <c r="I49" s="318"/>
      <c r="J49" s="318">
        <v>48964</v>
      </c>
      <c r="K49" s="319">
        <v>218017.32</v>
      </c>
      <c r="L49" s="319"/>
      <c r="M49" s="319"/>
      <c r="N49" s="319"/>
      <c r="O49" s="318"/>
      <c r="P49" s="318">
        <v>-15637</v>
      </c>
      <c r="Q49" s="319">
        <v>122605.69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102</v>
      </c>
      <c r="AU49" s="321">
        <v>1154816</v>
      </c>
      <c r="AV49" s="368"/>
      <c r="AW49" s="374"/>
    </row>
    <row r="50" spans="2:49" x14ac:dyDescent="0.2">
      <c r="B50" s="343" t="s">
        <v>119</v>
      </c>
      <c r="C50" s="331" t="s">
        <v>34</v>
      </c>
      <c r="D50" s="318">
        <v>276424</v>
      </c>
      <c r="E50" s="363"/>
      <c r="F50" s="363"/>
      <c r="G50" s="363"/>
      <c r="H50" s="363"/>
      <c r="I50" s="365"/>
      <c r="J50" s="318">
        <v>-236196</v>
      </c>
      <c r="K50" s="363"/>
      <c r="L50" s="363"/>
      <c r="M50" s="363"/>
      <c r="N50" s="363"/>
      <c r="O50" s="365"/>
      <c r="P50" s="318">
        <v>3185747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295</v>
      </c>
      <c r="AU50" s="321">
        <v>520865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-284678.31</v>
      </c>
      <c r="L53" s="319"/>
      <c r="M53" s="319"/>
      <c r="N53" s="319"/>
      <c r="O53" s="318"/>
      <c r="P53" s="318">
        <v>0</v>
      </c>
      <c r="Q53" s="319">
        <v>-506597.63</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45438634</v>
      </c>
      <c r="E54" s="323">
        <f>E24+E27+E31+E35-E36+E39+E42+E45+E46-E49+E51+E52+E53</f>
        <v>44044679.379999995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2013009</v>
      </c>
      <c r="K54" s="323">
        <f>K24+K27+K31+K35-K36+K39+K42+K45+K46-K49+K51+K52+K53</f>
        <v>3079474.07</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6462652</v>
      </c>
      <c r="Q54" s="323">
        <f>Q24+Q27+Q31+Q35-Q36+Q39+Q42+Q45+Q46-Q49+Q51+Q52+Q53</f>
        <v>5861122.6899999995</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10784534</v>
      </c>
      <c r="AU54" s="324">
        <f>AU23+AU26-AU28+AU30-AU32+AU34-AU36+AU38+AU41-AU43+AU45+AU46-AU47-AU49+AU50+AU51+AU52+AU53</f>
        <v>155484068</v>
      </c>
      <c r="AV54" s="368"/>
      <c r="AW54" s="374"/>
    </row>
    <row r="55" spans="2:49" ht="25.5" x14ac:dyDescent="0.2">
      <c r="B55" s="348" t="s">
        <v>493</v>
      </c>
      <c r="C55" s="335" t="s">
        <v>28</v>
      </c>
      <c r="D55" s="322">
        <f t="shared" ref="D55:AC55" si="0">MIN(MAX(0,D56),MAX(0,D57))</f>
        <v>98428.39</v>
      </c>
      <c r="E55" s="323">
        <f t="shared" si="0"/>
        <v>98428.39</v>
      </c>
      <c r="F55" s="323">
        <f t="shared" si="0"/>
        <v>0</v>
      </c>
      <c r="G55" s="323">
        <f t="shared" si="0"/>
        <v>0</v>
      </c>
      <c r="H55" s="323">
        <f t="shared" si="0"/>
        <v>0</v>
      </c>
      <c r="I55" s="322">
        <f t="shared" si="0"/>
        <v>0</v>
      </c>
      <c r="J55" s="322">
        <f t="shared" si="0"/>
        <v>4268.45</v>
      </c>
      <c r="K55" s="323">
        <f t="shared" si="0"/>
        <v>4264.88</v>
      </c>
      <c r="L55" s="323">
        <f t="shared" si="0"/>
        <v>0</v>
      </c>
      <c r="M55" s="323">
        <f t="shared" si="0"/>
        <v>0</v>
      </c>
      <c r="N55" s="323">
        <f t="shared" si="0"/>
        <v>0</v>
      </c>
      <c r="O55" s="322">
        <f t="shared" si="0"/>
        <v>0</v>
      </c>
      <c r="P55" s="322">
        <f t="shared" si="0"/>
        <v>12823.82</v>
      </c>
      <c r="Q55" s="323">
        <f t="shared" si="0"/>
        <v>12827.39</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98428.39</v>
      </c>
      <c r="E56" s="319">
        <v>98428.39</v>
      </c>
      <c r="F56" s="319"/>
      <c r="G56" s="319"/>
      <c r="H56" s="319"/>
      <c r="I56" s="318"/>
      <c r="J56" s="318">
        <v>4268.45</v>
      </c>
      <c r="K56" s="319">
        <v>4264.88</v>
      </c>
      <c r="L56" s="319"/>
      <c r="M56" s="319"/>
      <c r="N56" s="319"/>
      <c r="O56" s="318"/>
      <c r="P56" s="318">
        <v>12823.82</v>
      </c>
      <c r="Q56" s="319">
        <v>12827.39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166925</v>
      </c>
      <c r="E57" s="319">
        <v>166925.37</v>
      </c>
      <c r="F57" s="319"/>
      <c r="G57" s="319"/>
      <c r="H57" s="319"/>
      <c r="I57" s="318"/>
      <c r="J57" s="318">
        <v>127208</v>
      </c>
      <c r="K57" s="319">
        <v>127207.5</v>
      </c>
      <c r="L57" s="319"/>
      <c r="M57" s="319"/>
      <c r="N57" s="319"/>
      <c r="O57" s="318"/>
      <c r="P57" s="318">
        <v>46175</v>
      </c>
      <c r="Q57" s="319">
        <v>46175.37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148616</v>
      </c>
      <c r="AU57" s="321">
        <v>1312334</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69113793.590000004</v>
      </c>
      <c r="D5" s="403">
        <v>58376571.649999999</v>
      </c>
      <c r="E5" s="454"/>
      <c r="F5" s="454"/>
      <c r="G5" s="448"/>
      <c r="H5" s="402">
        <v>4267996.74</v>
      </c>
      <c r="I5" s="403">
        <v>4589406.7300000004</v>
      </c>
      <c r="J5" s="454"/>
      <c r="K5" s="454"/>
      <c r="L5" s="448"/>
      <c r="M5" s="402">
        <v>20136397.260000002</v>
      </c>
      <c r="N5" s="403">
        <v>8267693.5300000003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69230515.959999993</v>
      </c>
      <c r="D6" s="398">
        <v>58485708.299999997</v>
      </c>
      <c r="E6" s="400">
        <f>SUM('Pt 1 Summary of Data'!E$12,'Pt 1 Summary of Data'!E$22)+SUM('Pt 1 Summary of Data'!G$12,'Pt 1 Summary of Data'!G$22)-SUM('Pt 1 Summary of Data'!H$12,'Pt 1 Summary of Data'!H$22)</f>
        <v>44143107.769999996</v>
      </c>
      <c r="F6" s="400">
        <f t="shared" ref="F6:F11" si="0">SUM(C6:E6)</f>
        <v>171859332.02999997</v>
      </c>
      <c r="G6" s="401">
        <f>SUM('Pt 1 Summary of Data'!I$12,'Pt 1 Summary of Data'!I$22)</f>
        <v>0</v>
      </c>
      <c r="H6" s="397">
        <v>4265607.05</v>
      </c>
      <c r="I6" s="398">
        <v>4427586.82</v>
      </c>
      <c r="J6" s="400">
        <f>SUM('Pt 1 Summary of Data'!K$12,'Pt 1 Summary of Data'!K$22)+SUM('Pt 1 Summary of Data'!M$12,'Pt 1 Summary of Data'!M$22)-SUM('Pt 1 Summary of Data'!N$12,'Pt 1 Summary of Data'!N$22)</f>
        <v>3083738.9499999997</v>
      </c>
      <c r="K6" s="400">
        <f>SUM(H6:J6)</f>
        <v>11776932.82</v>
      </c>
      <c r="L6" s="401">
        <f>SUM('Pt 1 Summary of Data'!O$12,'Pt 1 Summary of Data'!O$22)</f>
        <v>0</v>
      </c>
      <c r="M6" s="397">
        <v>20119520.550000001</v>
      </c>
      <c r="N6" s="398">
        <v>8471142.5500000007</v>
      </c>
      <c r="O6" s="400">
        <f>SUM('Pt 1 Summary of Data'!Q$12,'Pt 1 Summary of Data'!Q$22)+SUM('Pt 1 Summary of Data'!S$12,'Pt 1 Summary of Data'!S$22)-SUM('Pt 1 Summary of Data'!T$12,'Pt 1 Summary of Data'!T$22)</f>
        <v>5873950.0799999991</v>
      </c>
      <c r="P6" s="400">
        <f>SUM(M6:O6)</f>
        <v>34464613.18</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2005033.63</v>
      </c>
      <c r="D7" s="398">
        <v>1256755.6299999999</v>
      </c>
      <c r="E7" s="400">
        <f>SUM('Pt 1 Summary of Data'!E$37:E$41)+SUM('Pt 1 Summary of Data'!G$37:G$41)-SUM('Pt 1 Summary of Data'!H$37:H$41)+MAX(0,MIN('Pt 1 Summary of Data'!E$42+'Pt 1 Summary of Data'!G$42-'Pt 1 Summary of Data'!H$42,0.3%*('Pt 1 Summary of Data'!E$5+'Pt 1 Summary of Data'!G$5-'Pt 1 Summary of Data'!H$5-SUM(E$9:E$11))))</f>
        <v>897137.09</v>
      </c>
      <c r="F7" s="400">
        <f t="shared" si="0"/>
        <v>4158926.3499999996</v>
      </c>
      <c r="G7" s="401">
        <f>SUM('Pt 1 Summary of Data'!I$37:I$41)+MAX(0,MIN(VALUE('Pt 1 Summary of Data'!I$42),0.3%*('Pt 1 Summary of Data'!I$5-SUM(G$9:G$10))))</f>
        <v>0</v>
      </c>
      <c r="H7" s="397">
        <v>85614.74</v>
      </c>
      <c r="I7" s="398">
        <v>57781.74</v>
      </c>
      <c r="J7" s="400">
        <f>SUM('Pt 1 Summary of Data'!K$37:K$41)+SUM('Pt 1 Summary of Data'!M$37:M$41)-SUM('Pt 1 Summary of Data'!N$37:N$41)+MAX(0,MIN('Pt 1 Summary of Data'!K$42+'Pt 1 Summary of Data'!M$42-'Pt 1 Summary of Data'!N$42,0.3%*('Pt 1 Summary of Data'!K$5+'Pt 1 Summary of Data'!M$5-'Pt 1 Summary of Data'!N$5-SUM(J$10:J$11))))</f>
        <v>148815.96</v>
      </c>
      <c r="K7" s="400">
        <f>SUM(H7:J7)</f>
        <v>292212.44</v>
      </c>
      <c r="L7" s="401">
        <f>SUM('Pt 1 Summary of Data'!O$37:O$41)+MAX(0,MIN(VALUE('Pt 1 Summary of Data'!O$42),0.3%*('Pt 1 Summary of Data'!O$5-L$10)))</f>
        <v>0</v>
      </c>
      <c r="M7" s="397">
        <v>419938.53</v>
      </c>
      <c r="N7" s="398">
        <v>177684.94</v>
      </c>
      <c r="O7" s="400">
        <f>SUM('Pt 1 Summary of Data'!Q$37:Q$41)+SUM('Pt 1 Summary of Data'!S$37:S$41)-SUM('Pt 1 Summary of Data'!T$37:T$41)+MAX(0,MIN('Pt 1 Summary of Data'!Q$42+'Pt 1 Summary of Data'!S$42-'Pt 1 Summary of Data'!T$42,0.3%*('Pt 1 Summary of Data'!Q$5+'Pt 1 Summary of Data'!S$5-'Pt 1 Summary of Data'!T$5)))</f>
        <v>542011.34000000008</v>
      </c>
      <c r="P7" s="400">
        <f>SUM(M7:O7)</f>
        <v>1139634.81</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547055.66</v>
      </c>
      <c r="E9" s="400">
        <f>'Pt 2 Premium and Claims'!E$15+'Pt 2 Premium and Claims'!G$15-'Pt 2 Premium and Claims'!H$15</f>
        <v>1206173.54</v>
      </c>
      <c r="F9" s="400">
        <f t="shared" si="0"/>
        <v>1753229.2000000002</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164111.48000000001</v>
      </c>
      <c r="E10" s="400">
        <f>'Pt 2 Premium and Claims'!E$16+'Pt 2 Premium and Claims'!G$16-'Pt 2 Premium and Claims'!H$16</f>
        <v>-2261208.38</v>
      </c>
      <c r="F10" s="400">
        <f t="shared" si="0"/>
        <v>-2097096.9</v>
      </c>
      <c r="G10" s="401">
        <f>'Pt 2 Premium and Claims'!I$16</f>
        <v>0</v>
      </c>
      <c r="H10" s="443"/>
      <c r="I10" s="398">
        <v>-116650.43</v>
      </c>
      <c r="J10" s="400">
        <f>'Pt 2 Premium and Claims'!K$16+'Pt 2 Premium and Claims'!M$16-'Pt 2 Premium and Claims'!N$16</f>
        <v>-124082.7</v>
      </c>
      <c r="K10" s="400">
        <f>SUM(H10:J10)</f>
        <v>-240733.13</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71235549.589999989</v>
      </c>
      <c r="D12" s="400">
        <f>SUM(D$6:D$7) - SUM(D$8:D$11)+IF(AND(OR('Company Information'!$C$12="District of Columbia",'Company Information'!$C$12="Massachusetts",'Company Information'!$C$12="Vermont"),SUM($C$6:$F$11,$C$15:$F$16,$C$38:$D$38)&lt;&gt;0),SUM(I$6:I$7) - SUM(I$10:I$11),0)</f>
        <v>59031296.789999999</v>
      </c>
      <c r="E12" s="400">
        <f>SUM(E$6:E$7)-SUM(E$8:E$11)+IF(AND(OR('Company Information'!$C$12="District of Columbia",'Company Information'!$C$12="Massachusetts",'Company Information'!$C$12="Vermont"),SUM($C$6:$F$11,$C$15:$F$16,$C$38:$D$38)&lt;&gt;0),SUM(J$6:J$7)-SUM(J$10:J$11),0)</f>
        <v>46095279.700000003</v>
      </c>
      <c r="F12" s="400">
        <f>IFERROR(SUM(C$12:E$12)+C$17*MAX(0,E$50-C$50)+D$17*MAX(0,E$50-D$50),0)</f>
        <v>176362126.07999998</v>
      </c>
      <c r="G12" s="447"/>
      <c r="H12" s="399">
        <f>SUM(H$6:H$7)+IF(AND(OR('Company Information'!$C$12="District of Columbia",'Company Information'!$C$12="Massachusetts",'Company Information'!$C$12="Vermont"),SUM($H$6:$K$11,$H$15:$K$16,$H$38:$I$38)&lt;&gt;0),SUM(C$6:C$7),0)</f>
        <v>4351221.79</v>
      </c>
      <c r="I12" s="400">
        <f>SUM(I$6:I$7) - SUM(I$10:I$11)+IF(AND(OR('Company Information'!$C$12="District of Columbia",'Company Information'!$C$12="Massachusetts",'Company Information'!$C$12="Vermont"),SUM($H$6:$K$11,$H$15:$K$16,$H$38:$I$38)&lt;&gt;0),SUM(D$6:D$7) - SUM(D$8:D$11),0)</f>
        <v>4602018.99</v>
      </c>
      <c r="J12" s="400">
        <f>SUM(J$6:J$7)-SUM(J$10:J$11)+IF(AND(OR('Company Information'!$C$12="District of Columbia",'Company Information'!$C$12="Massachusetts",'Company Information'!$C$12="Vermont"),SUM($H$6:$K$11,$H$15:$K$16,$H$38:$I$38)&lt;&gt;0),SUM(E$6:E$7)-SUM(E$8:E$11),0)</f>
        <v>3356637.61</v>
      </c>
      <c r="K12" s="400">
        <f>IFERROR(SUM(H$12:J$12)+H$17*MAX(0,J$50-H$50)+I$17*MAX(0,J$50-I$50),0)</f>
        <v>12309878.390000001</v>
      </c>
      <c r="L12" s="447"/>
      <c r="M12" s="399">
        <f>SUM(M$6:M$7)</f>
        <v>20539459.080000002</v>
      </c>
      <c r="N12" s="400">
        <f>SUM(N$6:N$7)</f>
        <v>8648827.4900000002</v>
      </c>
      <c r="O12" s="400">
        <f>SUM(O$6:O$7)</f>
        <v>6415961.419999999</v>
      </c>
      <c r="P12" s="400">
        <f>SUM(M$12:O$12)+M$17*MAX(0,O$50-M$50)+N$17*MAX(0,O$50-N$50)</f>
        <v>35604247.990000002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91835507.849999994</v>
      </c>
      <c r="D15" s="403">
        <v>75714280.340000004</v>
      </c>
      <c r="E15" s="395">
        <f>SUM('Pt 1 Summary of Data'!E$5:E$7)+SUM('Pt 1 Summary of Data'!G$5:G$7)-SUM('Pt 1 Summary of Data'!H$5:H$7)-SUM(E$9:E$11)</f>
        <v>60144451.189999998</v>
      </c>
      <c r="F15" s="395">
        <f>SUM(C15:E15)</f>
        <v>227694239.38</v>
      </c>
      <c r="G15" s="396">
        <f>SUM('Pt 1 Summary of Data'!I$5:I$7)-SUM(G$9:G$10)</f>
        <v>0</v>
      </c>
      <c r="H15" s="402">
        <v>7678763.4100000001</v>
      </c>
      <c r="I15" s="403">
        <v>5795885.6399999997</v>
      </c>
      <c r="J15" s="395">
        <f>SUM('Pt 1 Summary of Data'!K$5:K$7)+SUM('Pt 1 Summary of Data'!M$5:M$7)-SUM('Pt 1 Summary of Data'!N$5:N$7)-SUM(J$10:J$11)</f>
        <v>4975512.74</v>
      </c>
      <c r="K15" s="395">
        <f>SUM(H15:J15)</f>
        <v>18450161.789999999</v>
      </c>
      <c r="L15" s="396">
        <f>SUM('Pt 1 Summary of Data'!O$5:O$7)-L$10</f>
        <v>0</v>
      </c>
      <c r="M15" s="402">
        <v>24416995.16</v>
      </c>
      <c r="N15" s="403">
        <v>9881507.5800000001</v>
      </c>
      <c r="O15" s="395">
        <f>SUM('Pt 1 Summary of Data'!Q$5:Q$7)+SUM('Pt 1 Summary of Data'!S$5:S$7)-SUM('Pt 1 Summary of Data'!T$5:T$7)+N$56</f>
        <v>9804299.790000001</v>
      </c>
      <c r="P15" s="395">
        <f>SUM(M15:O15)</f>
        <v>44102802.530000001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64977.22</v>
      </c>
      <c r="D16" s="398">
        <v>2943687.51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2441726.4</v>
      </c>
      <c r="F16" s="400">
        <f>SUM(C16:E16)</f>
        <v>5450391.1299999999</v>
      </c>
      <c r="G16" s="401">
        <f>SUM('Pt 1 Summary of Data'!I$25:I$28,'Pt 1 Summary of Data'!I$30,'Pt 1 Summary of Data'!I$34:I$35)+IF('Company Information'!$C$15="No",IF(MAX('Pt 1 Summary of Data'!I$31:I$32)=0,MIN('Pt 1 Summary of Data'!I$31:I$32),MAX('Pt 1 Summary of Data'!I$31:I$32)),SUM('Pt 1 Summary of Data'!I$31:I$32))</f>
        <v>0</v>
      </c>
      <c r="H16" s="397">
        <v>828032.3</v>
      </c>
      <c r="I16" s="398">
        <v>676863.51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580773.66999999993</v>
      </c>
      <c r="K16" s="400">
        <f>SUM(H16:J16)</f>
        <v>2085669.48</v>
      </c>
      <c r="L16" s="401">
        <f>SUM('Pt 1 Summary of Data'!O$25:O$28,'Pt 1 Summary of Data'!O$30,'Pt 1 Summary of Data'!O$34:O$35)+IF('Company Information'!$C$15="No",IF(MAX('Pt 1 Summary of Data'!O$31:O$32)=0,MIN('Pt 1 Summary of Data'!O$31:O$32),MAX('Pt 1 Summary of Data'!O$31:O$32)),SUM('Pt 1 Summary of Data'!O$31:O$32))</f>
        <v>0</v>
      </c>
      <c r="M16" s="397">
        <v>1828491.55</v>
      </c>
      <c r="N16" s="398">
        <v>32850.97</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989132.41999999993</v>
      </c>
      <c r="P16" s="400">
        <f>SUM(M16:O16)</f>
        <v>2850474.94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91770530.629999995</v>
      </c>
      <c r="D17" s="400">
        <f>D$15-D$16+IF(AND(OR('Company Information'!$C$12="District of Columbia",'Company Information'!$C$12="Massachusetts",'Company Information'!$C$12="Vermont"),SUM($C$6:$F$11,$C$15:$F$16,$C$38:$D$38)&lt;&gt;0),I$15-I$16,0)</f>
        <v>72770592.829999998</v>
      </c>
      <c r="E17" s="400">
        <f>E$15-E$16+IF(AND(OR('Company Information'!$C$12="District of Columbia",'Company Information'!$C$12="Massachusetts",'Company Information'!$C$12="Vermont"),SUM($C$6:$F$11,$C$15:$F$16,$C$38:$D$38)&lt;&gt;0),J$15-J$16,0)</f>
        <v>57702724.789999999</v>
      </c>
      <c r="F17" s="400">
        <f>F$15-F$16+IF(AND(OR('Company Information'!$C$12="District of Columbia",'Company Information'!$C$12="Massachusetts",'Company Information'!$C$12="Vermont"),SUM($C$6:$F$11,$C$15:$F$16,$C$38:$D$38)&lt;&gt;0),K$15-K$16,0)</f>
        <v>222243848.25</v>
      </c>
      <c r="G17" s="450"/>
      <c r="H17" s="399">
        <f>H$15-H$16+IF(AND(OR('Company Information'!$C$12="District of Columbia",'Company Information'!$C$12="Massachusetts",'Company Information'!$C$12="Vermont"),SUM($H$6:$K$11,$H$15:$K$16,$H$38:$I$38)&lt;&gt;0),C$15-C$16,0)</f>
        <v>6850731.1100000003</v>
      </c>
      <c r="I17" s="400">
        <f>I$15-I$16+IF(AND(OR('Company Information'!$C$12="District of Columbia",'Company Information'!$C$12="Massachusetts",'Company Information'!$C$12="Vermont"),SUM($H$6:$K$11,$H$15:$K$16,$H$38:$I$38)&lt;&gt;0),D$15-D$16,0)</f>
        <v>5119022.13</v>
      </c>
      <c r="J17" s="400">
        <f>J$15-J$16+IF(AND(OR('Company Information'!$C$12="District of Columbia",'Company Information'!$C$12="Massachusetts",'Company Information'!$C$12="Vermont"),SUM($H$6:$K$11,$H$15:$K$16,$H$38:$I$38)&lt;&gt;0),E$15-E$16,0)</f>
        <v>4394739.07</v>
      </c>
      <c r="K17" s="400">
        <f>K$15-K$16+IF(AND(OR('Company Information'!$C$12="District of Columbia",'Company Information'!$C$12="Massachusetts",'Company Information'!$C$12="Vermont"),SUM($H$6:$K$11,$H$15:$K$16,$H$38:$I$38)&lt;&gt;0),F$15-F$16,0)</f>
        <v>16364492.309999999</v>
      </c>
      <c r="L17" s="450"/>
      <c r="M17" s="399">
        <f>M$15-M$16</f>
        <v>22588503.609999999</v>
      </c>
      <c r="N17" s="400">
        <f>N$15-N$16</f>
        <v>9848656.6099999994</v>
      </c>
      <c r="O17" s="400">
        <f>O$15-O$16</f>
        <v>8815167.370000001</v>
      </c>
      <c r="P17" s="400">
        <f>P$15-P$16</f>
        <v>41252327.590000004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35497</v>
      </c>
      <c r="D38" s="405">
        <v>27726.58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19295.666666666668</v>
      </c>
      <c r="F38" s="432">
        <f>SUM(C$38:E$38)+IF(AND(OR('Company Information'!$C$12="District of Columbia",'Company Information'!$C$12="Massachusetts",'Company Information'!$C$12="Vermont"),SUM($C$6:$F$11,$C$15:$F$16,$C$38:$D$38)&lt;&gt;0,SUM(C$38:D$38)&lt;&gt;SUM(H$38:I$38)),SUM(H$38:I$38),0)</f>
        <v>82519.246666666673</v>
      </c>
      <c r="G38" s="448"/>
      <c r="H38" s="404">
        <v>772</v>
      </c>
      <c r="I38" s="405">
        <v>636</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657.16666666666663</v>
      </c>
      <c r="K38" s="432">
        <f>SUM(H$38:J$38)+IF(AND(OR('Company Information'!$C$12="District of Columbia",'Company Information'!$C$12="Massachusetts",'Company Information'!$C$12="Vermont"),SUM($H$6:$K$11,$H$15:$K$16,$H$38:$I$38)&lt;&gt;0,SUM(H$38:I$38)&lt;&gt;SUM(C$38:D$38)),SUM(C$38:D$38),0)</f>
        <v>2065.1666666666665</v>
      </c>
      <c r="L38" s="448"/>
      <c r="M38" s="404">
        <v>4835</v>
      </c>
      <c r="N38" s="405">
        <v>1793.83</v>
      </c>
      <c r="O38" s="432">
        <f>('Pt 1 Summary of Data'!Q$59+'Pt 1 Summary of Data'!S$59-'Pt 1 Summary of Data'!T$59)/12</f>
        <v>1687</v>
      </c>
      <c r="P38" s="432">
        <f>SUM(M$38:O$38)</f>
        <v>8315.83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6.0986555555555558E-2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2.9705174000000001E-2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4409</v>
      </c>
      <c r="G40" s="447"/>
      <c r="H40" s="443"/>
      <c r="I40" s="441"/>
      <c r="J40" s="441"/>
      <c r="K40" s="398">
        <v>2333</v>
      </c>
      <c r="L40" s="447"/>
      <c r="M40" s="443"/>
      <c r="N40" s="441"/>
      <c r="O40" s="441"/>
      <c r="P40" s="398">
        <v>1695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1.3457367999999998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 ca="1">IF(OR(K$38&lt;1000,K$38&gt;=75000),0,K$39*K$41)</f>
        <v>6.0986555555555558E-2</v>
      </c>
      <c r="L42" s="447"/>
      <c r="M42" s="443"/>
      <c r="N42" s="441"/>
      <c r="O42" s="441"/>
      <c r="P42" s="436">
        <f ca="1">IF(OR(P$38&lt;1000,P$38&gt;=75000),0,P$39*P$41)</f>
        <v>2.9705174000000001E-2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0.77623556386752468</v>
      </c>
      <c r="D45" s="436">
        <f>IF(OR(D$38&lt;1000,D$17&lt;=0),"",D$12/D$17)</f>
        <v>0.81119714014015953</v>
      </c>
      <c r="E45" s="436">
        <f>IF(OR(E$38&lt;1000,E$17&lt;=0),"",E$12/E$17)</f>
        <v>0.7988406070554992</v>
      </c>
      <c r="F45" s="436">
        <f>IF(OR(F$38&lt;1000,F$17&lt;=0),"",F$12/F$17)</f>
        <v>0.79355234112762441</v>
      </c>
      <c r="G45" s="447"/>
      <c r="H45" s="438" t="str">
        <f>IF(OR(H$38&lt;1000,H$17&lt;=0),"",H$12/H$17)</f>
        <v/>
      </c>
      <c r="I45" s="436" t="str">
        <f>IF(OR(I$38&lt;1000,I$17&lt;=0),"",I$12/I$17)</f>
        <v/>
      </c>
      <c r="J45" s="436" t="str">
        <f>IF(OR(J$38&lt;1000,J$17&lt;=0),"",J$12/J$17)</f>
        <v/>
      </c>
      <c r="K45" s="436">
        <f>IF(OR(K$38&lt;1000,K$17&lt;=0),"",K$12/K$17)</f>
        <v>0.75223099848185893</v>
      </c>
      <c r="L45" s="447"/>
      <c r="M45" s="438">
        <f>IF(OR(M$38&lt;1000,M$17&lt;=0),"",M$12/M$17)</f>
        <v>0.90928816864642248</v>
      </c>
      <c r="N45" s="436">
        <f>IF(OR(N$38&lt;1000,N$17&lt;=0),"",N$12/N$17)</f>
        <v>0.87817332175215324</v>
      </c>
      <c r="O45" s="436">
        <f>IF(OR(O$38&lt;1000,O$17&lt;=0),"",O$12/O$17)</f>
        <v>0.72783205930212513</v>
      </c>
      <c r="P45" s="436">
        <f>IF(OR(P$38&lt;1000,P$17&lt;=0),"",P$12/P$17)</f>
        <v>0.8630845838291763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IF(F$45="","",F$42)</f>
        <v>0</v>
      </c>
      <c r="G47" s="447"/>
      <c r="H47" s="443"/>
      <c r="I47" s="441"/>
      <c r="J47" s="441"/>
      <c r="K47" s="436">
        <f ca="1">IF(K$45="","",K$42)</f>
        <v>6.0986555555555558E-2</v>
      </c>
      <c r="L47" s="447"/>
      <c r="M47" s="443"/>
      <c r="N47" s="441"/>
      <c r="O47" s="441"/>
      <c r="P47" s="436">
        <f ca="1">IF(P$45="","",P$42)</f>
        <v>2.9705174000000001E-2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IF(F$45="","",ROUND(F$45+MAX(0,F$47),3))</f>
        <v>0.79400000000000004</v>
      </c>
      <c r="G48" s="447"/>
      <c r="H48" s="443"/>
      <c r="I48" s="441"/>
      <c r="J48" s="441"/>
      <c r="K48" s="436">
        <f ca="1">IF(K$45="","",ROUND(K$45+MAX(0,K$47),3))</f>
        <v>0.81299999999999994</v>
      </c>
      <c r="L48" s="447"/>
      <c r="M48" s="443"/>
      <c r="N48" s="441"/>
      <c r="O48" s="441"/>
      <c r="P48" s="436">
        <f ca="1">IF(P$45="","",ROUND(P$45+MAX(0,P$47),3))</f>
        <v>0.89300000000000002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0.79400000000000004</v>
      </c>
      <c r="G51" s="447"/>
      <c r="H51" s="444"/>
      <c r="I51" s="442"/>
      <c r="J51" s="442"/>
      <c r="K51" s="436">
        <f ca="1">K$48</f>
        <v>0.81299999999999994</v>
      </c>
      <c r="L51" s="447"/>
      <c r="M51" s="444"/>
      <c r="N51" s="442"/>
      <c r="O51" s="442"/>
      <c r="P51" s="436">
        <f ca="1">P$48</f>
        <v>0.89300000000000002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57702724.789999999</v>
      </c>
      <c r="G52" s="447"/>
      <c r="H52" s="443"/>
      <c r="I52" s="441"/>
      <c r="J52" s="441"/>
      <c r="K52" s="400">
        <f>IF(K$38&lt;1000,"",MAX(0,J$15-J$16))</f>
        <v>4394739.07</v>
      </c>
      <c r="L52" s="447"/>
      <c r="M52" s="443"/>
      <c r="N52" s="441"/>
      <c r="O52" s="441"/>
      <c r="P52" s="400">
        <f>IF(P$38&lt;1000,"",MAX(0,O$15-O$16))</f>
        <v>8815167.370000001</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346216.34874000028</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826575.46</v>
      </c>
      <c r="D56" s="441"/>
      <c r="E56" s="441"/>
      <c r="F56" s="441"/>
      <c r="G56" s="447"/>
      <c r="H56" s="397">
        <v>42088.83</v>
      </c>
      <c r="I56" s="441"/>
      <c r="J56" s="441"/>
      <c r="K56" s="441"/>
      <c r="L56" s="447"/>
      <c r="M56" s="397">
        <v>62665.36</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584.66</v>
      </c>
      <c r="D57" s="441"/>
      <c r="E57" s="441"/>
      <c r="F57" s="441"/>
      <c r="G57" s="447"/>
      <c r="H57" s="397">
        <v>4537.5600000000004</v>
      </c>
      <c r="I57" s="441"/>
      <c r="J57" s="441"/>
      <c r="K57" s="441"/>
      <c r="L57" s="447"/>
      <c r="M57" s="397">
        <v>4691.05</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10496</v>
      </c>
      <c r="D4" s="104">
        <f>'Pt 1 Summary of Data'!$K$56+'Pt 1 Summary of Data'!$M$56-'Pt 1 Summary of Data'!$N$56</f>
        <v>389</v>
      </c>
      <c r="E4" s="104">
        <f>'Pt 1 Summary of Data'!$Q$56+'Pt 1 Summary of Data'!$S$56-'Pt 1 Summary of Data'!$T$56</f>
        <v>765</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11772</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1528</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346216.34874000028</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v>-4230.79</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346216.35</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2037576.6</v>
      </c>
      <c r="D16" s="99">
        <v>143332.62</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v>1</v>
      </c>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172257.35</v>
      </c>
      <c r="D22" s="127">
        <v>9293.66</v>
      </c>
      <c r="E22" s="127"/>
      <c r="F22" s="127"/>
      <c r="G22" s="127"/>
      <c r="H22" s="127"/>
      <c r="I22" s="181"/>
      <c r="J22" s="181"/>
      <c r="K22" s="200"/>
    </row>
    <row r="23" spans="2:12" s="5" customFormat="1" ht="100.15" customHeight="1" x14ac:dyDescent="0.2">
      <c r="B23" s="91" t="s">
        <v>212</v>
      </c>
      <c r="C23" s="483" t="s">
        <v>533</v>
      </c>
      <c r="D23" s="484"/>
      <c r="E23" s="484"/>
      <c r="F23" s="484"/>
      <c r="G23" s="484"/>
      <c r="H23" s="484"/>
      <c r="I23" s="484"/>
      <c r="J23" s="484"/>
      <c r="K23" s="485"/>
    </row>
    <row r="24" spans="2:12" s="5" customFormat="1" ht="100.15" customHeight="1" x14ac:dyDescent="0.2">
      <c r="B24" s="90" t="s">
        <v>213</v>
      </c>
      <c r="C24" s="486" t="s">
        <v>534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511</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512</v>
      </c>
      <c r="E27" s="7"/>
    </row>
    <row r="28" spans="2:5" ht="35.25" customHeight="1" x14ac:dyDescent="0.2">
      <c r="B28" s="134"/>
      <c r="C28" s="113"/>
      <c r="D28" s="137" t="s">
        <v>513</v>
      </c>
      <c r="E28" s="7"/>
    </row>
    <row r="29" spans="2:5" ht="35.25" customHeight="1" x14ac:dyDescent="0.2">
      <c r="B29" s="134"/>
      <c r="C29" s="113"/>
      <c r="D29" s="137" t="s">
        <v>514</v>
      </c>
      <c r="E29" s="7"/>
    </row>
    <row r="30" spans="2:5" ht="35.25" customHeight="1" x14ac:dyDescent="0.2">
      <c r="B30" s="134"/>
      <c r="C30" s="113"/>
      <c r="D30" s="137" t="s">
        <v>515</v>
      </c>
      <c r="E30" s="7"/>
    </row>
    <row r="31" spans="2:5" ht="35.25" customHeight="1" x14ac:dyDescent="0.2">
      <c r="B31" s="134"/>
      <c r="C31" s="113"/>
      <c r="D31" s="137" t="s">
        <v>516</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517</v>
      </c>
      <c r="E34" s="7"/>
    </row>
    <row r="35" spans="2:5" ht="35.25" customHeight="1" x14ac:dyDescent="0.2">
      <c r="B35" s="134"/>
      <c r="C35" s="113"/>
      <c r="D35" s="137" t="s">
        <v>518</v>
      </c>
      <c r="E35" s="7"/>
    </row>
    <row r="36" spans="2:5" ht="35.25" customHeight="1" x14ac:dyDescent="0.2">
      <c r="B36" s="134"/>
      <c r="C36" s="113"/>
      <c r="D36" s="137" t="s">
        <v>519</v>
      </c>
      <c r="E36" s="7"/>
    </row>
    <row r="37" spans="2:5" ht="35.25" customHeight="1" x14ac:dyDescent="0.2">
      <c r="B37" s="134"/>
      <c r="C37" s="113"/>
      <c r="D37" s="137" t="s">
        <v>520</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524</v>
      </c>
      <c r="E56" s="7"/>
    </row>
    <row r="57" spans="2:5" ht="35.25" customHeight="1" x14ac:dyDescent="0.2">
      <c r="B57" s="134"/>
      <c r="C57" s="115"/>
      <c r="D57" s="137" t="s">
        <v>525</v>
      </c>
      <c r="E57" s="7"/>
    </row>
    <row r="58" spans="2:5" ht="35.25" customHeight="1" x14ac:dyDescent="0.2">
      <c r="B58" s="134"/>
      <c r="C58" s="115"/>
      <c r="D58" s="137" t="s">
        <v>526</v>
      </c>
      <c r="E58" s="7"/>
    </row>
    <row r="59" spans="2:5" ht="35.25" customHeight="1" x14ac:dyDescent="0.2">
      <c r="B59" s="134"/>
      <c r="C59" s="115"/>
      <c r="D59" s="137" t="s">
        <v>527</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524</v>
      </c>
      <c r="E67" s="7"/>
    </row>
    <row r="68" spans="2:5" ht="35.25" customHeight="1" x14ac:dyDescent="0.2">
      <c r="B68" s="134"/>
      <c r="C68" s="115"/>
      <c r="D68" s="137" t="s">
        <v>525</v>
      </c>
      <c r="E68" s="7"/>
    </row>
    <row r="69" spans="2:5" ht="35.25" customHeight="1" x14ac:dyDescent="0.2">
      <c r="B69" s="134"/>
      <c r="C69" s="115"/>
      <c r="D69" s="137" t="s">
        <v>526</v>
      </c>
      <c r="E69" s="7"/>
    </row>
    <row r="70" spans="2:5" ht="35.25" customHeight="1" x14ac:dyDescent="0.2">
      <c r="B70" s="134"/>
      <c r="C70" s="115"/>
      <c r="D70" s="137" t="s">
        <v>527</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524</v>
      </c>
      <c r="E78" s="7"/>
    </row>
    <row r="79" spans="2:5" ht="35.25" customHeight="1" x14ac:dyDescent="0.2">
      <c r="B79" s="134"/>
      <c r="C79" s="115"/>
      <c r="D79" s="137" t="s">
        <v>525</v>
      </c>
      <c r="E79" s="7"/>
    </row>
    <row r="80" spans="2:5" ht="35.25" customHeight="1" x14ac:dyDescent="0.2">
      <c r="B80" s="134"/>
      <c r="C80" s="115"/>
      <c r="D80" s="137" t="s">
        <v>526</v>
      </c>
      <c r="E80" s="7"/>
    </row>
    <row r="81" spans="2:5" ht="35.25" customHeight="1" x14ac:dyDescent="0.2">
      <c r="B81" s="134"/>
      <c r="C81" s="115"/>
      <c r="D81" s="137" t="s">
        <v>527</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524</v>
      </c>
      <c r="E89" s="7"/>
    </row>
    <row r="90" spans="2:5" ht="35.25" customHeight="1" x14ac:dyDescent="0.2">
      <c r="B90" s="134"/>
      <c r="C90" s="115"/>
      <c r="D90" s="137" t="s">
        <v>525</v>
      </c>
      <c r="E90" s="7"/>
    </row>
    <row r="91" spans="2:5" ht="35.25" customHeight="1" x14ac:dyDescent="0.2">
      <c r="B91" s="134"/>
      <c r="C91" s="115"/>
      <c r="D91" s="137" t="s">
        <v>526</v>
      </c>
      <c r="E91" s="7"/>
    </row>
    <row r="92" spans="2:5" ht="35.25" customHeight="1" x14ac:dyDescent="0.2">
      <c r="B92" s="134"/>
      <c r="C92" s="115"/>
      <c r="D92" s="137" t="s">
        <v>527</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528</v>
      </c>
      <c r="E100" s="7"/>
    </row>
    <row r="101" spans="2:5" ht="35.25" customHeight="1" x14ac:dyDescent="0.2">
      <c r="B101" s="134"/>
      <c r="C101" s="115"/>
      <c r="D101" s="137" t="s">
        <v>529</v>
      </c>
      <c r="E101" s="7"/>
    </row>
    <row r="102" spans="2:5" ht="35.25" customHeight="1" x14ac:dyDescent="0.2">
      <c r="B102" s="134"/>
      <c r="C102" s="115"/>
      <c r="D102" s="137" t="s">
        <v>530</v>
      </c>
      <c r="E102" s="7"/>
    </row>
    <row r="103" spans="2:5" ht="35.25" customHeight="1" x14ac:dyDescent="0.2">
      <c r="B103" s="134"/>
      <c r="C103" s="115"/>
      <c r="D103" s="137" t="s">
        <v>531</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524</v>
      </c>
      <c r="E111" s="27"/>
    </row>
    <row r="112" spans="2:5" s="5" customFormat="1" ht="35.25" customHeight="1" x14ac:dyDescent="0.2">
      <c r="B112" s="134"/>
      <c r="C112" s="115"/>
      <c r="D112" s="137" t="s">
        <v>525</v>
      </c>
      <c r="E112" s="27"/>
    </row>
    <row r="113" spans="2:5" s="5" customFormat="1" ht="35.25" customHeight="1" x14ac:dyDescent="0.2">
      <c r="B113" s="134"/>
      <c r="C113" s="115"/>
      <c r="D113" s="137" t="s">
        <v>526</v>
      </c>
      <c r="E113" s="27"/>
    </row>
    <row r="114" spans="2:5" s="5" customFormat="1" ht="35.25" customHeight="1" x14ac:dyDescent="0.2">
      <c r="B114" s="134"/>
      <c r="C114" s="115"/>
      <c r="D114" s="137" t="s">
        <v>527</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524</v>
      </c>
      <c r="E123" s="7"/>
    </row>
    <row r="124" spans="2:5" s="5" customFormat="1" ht="35.25" customHeight="1" x14ac:dyDescent="0.2">
      <c r="B124" s="134"/>
      <c r="C124" s="113"/>
      <c r="D124" s="137" t="s">
        <v>525</v>
      </c>
      <c r="E124" s="27"/>
    </row>
    <row r="125" spans="2:5" s="5" customFormat="1" ht="35.25" customHeight="1" x14ac:dyDescent="0.2">
      <c r="B125" s="134"/>
      <c r="C125" s="113"/>
      <c r="D125" s="137" t="s">
        <v>526</v>
      </c>
      <c r="E125" s="27"/>
    </row>
    <row r="126" spans="2:5" s="5" customFormat="1" ht="35.25" customHeight="1" x14ac:dyDescent="0.2">
      <c r="B126" s="134"/>
      <c r="C126" s="113"/>
      <c r="D126" s="137" t="s">
        <v>527</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524</v>
      </c>
      <c r="E134" s="27"/>
    </row>
    <row r="135" spans="2:5" s="5" customFormat="1" ht="35.25" customHeight="1" x14ac:dyDescent="0.2">
      <c r="B135" s="134"/>
      <c r="C135" s="113"/>
      <c r="D135" s="137" t="s">
        <v>525</v>
      </c>
      <c r="E135" s="27"/>
    </row>
    <row r="136" spans="2:5" s="5" customFormat="1" ht="35.25" customHeight="1" x14ac:dyDescent="0.2">
      <c r="B136" s="134"/>
      <c r="C136" s="113"/>
      <c r="D136" s="137" t="s">
        <v>526</v>
      </c>
      <c r="E136" s="27"/>
    </row>
    <row r="137" spans="2:5" s="5" customFormat="1" ht="35.25" customHeight="1" x14ac:dyDescent="0.2">
      <c r="B137" s="134"/>
      <c r="C137" s="113"/>
      <c r="D137" s="137" t="s">
        <v>527</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525</v>
      </c>
      <c r="E145" s="27"/>
    </row>
    <row r="146" spans="2:5" s="5" customFormat="1" ht="35.25" customHeight="1" x14ac:dyDescent="0.2">
      <c r="B146" s="134"/>
      <c r="C146" s="113"/>
      <c r="D146" s="137" t="s">
        <v>526</v>
      </c>
      <c r="E146" s="27"/>
    </row>
    <row r="147" spans="2:5" s="5" customFormat="1" ht="35.25" customHeight="1" x14ac:dyDescent="0.2">
      <c r="B147" s="134"/>
      <c r="C147" s="113"/>
      <c r="D147" s="137" t="s">
        <v>527</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525</v>
      </c>
      <c r="E167" s="27"/>
    </row>
    <row r="168" spans="2:5" s="5" customFormat="1" ht="35.25" customHeight="1" x14ac:dyDescent="0.2">
      <c r="B168" s="134"/>
      <c r="C168" s="113"/>
      <c r="D168" s="137" t="s">
        <v>526</v>
      </c>
      <c r="E168" s="27"/>
    </row>
    <row r="169" spans="2:5" s="5" customFormat="1" ht="35.25" customHeight="1" x14ac:dyDescent="0.2">
      <c r="B169" s="134"/>
      <c r="C169" s="113"/>
      <c r="D169" s="137" t="s">
        <v>527</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525</v>
      </c>
      <c r="E178" s="27"/>
    </row>
    <row r="179" spans="2:5" s="5" customFormat="1" ht="35.25" customHeight="1" x14ac:dyDescent="0.2">
      <c r="B179" s="134"/>
      <c r="C179" s="113"/>
      <c r="D179" s="137" t="s">
        <v>526</v>
      </c>
      <c r="E179" s="27"/>
    </row>
    <row r="180" spans="2:5" s="5" customFormat="1" ht="35.25" customHeight="1" x14ac:dyDescent="0.2">
      <c r="B180" s="134"/>
      <c r="C180" s="113"/>
      <c r="D180" s="137" t="s">
        <v>527</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524</v>
      </c>
      <c r="E200" s="27"/>
    </row>
    <row r="201" spans="2:5" s="5" customFormat="1" ht="35.25" customHeight="1" x14ac:dyDescent="0.2">
      <c r="B201" s="134"/>
      <c r="C201" s="113"/>
      <c r="D201" s="137" t="s">
        <v>525</v>
      </c>
      <c r="E201" s="27"/>
    </row>
    <row r="202" spans="2:5" s="5" customFormat="1" ht="35.25" customHeight="1" x14ac:dyDescent="0.2">
      <c r="B202" s="134"/>
      <c r="C202" s="113"/>
      <c r="D202" s="137" t="s">
        <v>526</v>
      </c>
      <c r="E202" s="27"/>
    </row>
    <row r="203" spans="2:5" s="5" customFormat="1" ht="35.25" customHeight="1" x14ac:dyDescent="0.2">
      <c r="B203" s="134"/>
      <c r="C203" s="113"/>
      <c r="D203" s="137" t="s">
        <v>527</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2016-07-28T15:02:15Z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