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X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Q13" i="10" s="1"/>
  <c r="P16" i="10"/>
  <c r="O16" i="10"/>
  <c r="L16" i="10"/>
  <c r="K16" i="10"/>
  <c r="J16" i="10"/>
  <c r="G16" i="10"/>
  <c r="E16" i="10"/>
  <c r="F16" i="10" s="1"/>
  <c r="AB15" i="10"/>
  <c r="AA15" i="10"/>
  <c r="X15" i="10"/>
  <c r="W15" i="10"/>
  <c r="V13" i="10" s="1"/>
  <c r="T15" i="10"/>
  <c r="S15" i="10"/>
  <c r="P15" i="10"/>
  <c r="O15" i="10"/>
  <c r="L15" i="10"/>
  <c r="AA13" i="10"/>
  <c r="Z13" i="10"/>
  <c r="Y13" i="10"/>
  <c r="W13" i="10"/>
  <c r="R13" i="10"/>
  <c r="O12" i="10"/>
  <c r="N12" i="10"/>
  <c r="M12" i="10"/>
  <c r="K11" i="10"/>
  <c r="J11" i="10"/>
  <c r="F11" i="10"/>
  <c r="E11" i="10"/>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B55" i="18"/>
  <c r="AB22" i="4" s="1"/>
  <c r="AA55" i="18"/>
  <c r="AA22" i="4" s="1"/>
  <c r="Z55" i="18"/>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E6" i="10" s="1"/>
  <c r="F6" i="10"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O54" i="18"/>
  <c r="O12" i="4" s="1"/>
  <c r="N54" i="18"/>
  <c r="N12" i="4" s="1"/>
  <c r="M54" i="18"/>
  <c r="L54" i="18"/>
  <c r="L12" i="4" s="1"/>
  <c r="K54" i="18"/>
  <c r="K12" i="4" s="1"/>
  <c r="J54" i="18"/>
  <c r="J12" i="4" s="1"/>
  <c r="I54" i="18"/>
  <c r="I12" i="4" s="1"/>
  <c r="H54" i="18"/>
  <c r="H12" i="4" s="1"/>
  <c r="G54" i="18"/>
  <c r="G12" i="4" s="1"/>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Z22" i="4"/>
  <c r="P12" i="4"/>
  <c r="M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7" i="10" l="1"/>
  <c r="F7" i="10" s="1"/>
  <c r="L30" i="10"/>
  <c r="L31" i="10" s="1"/>
  <c r="L29" i="10" s="1"/>
  <c r="L33" i="10" s="1"/>
  <c r="L34" i="10" s="1"/>
  <c r="J15" i="10"/>
  <c r="K15" i="10" s="1"/>
  <c r="J7" i="10"/>
  <c r="E15" i="10"/>
  <c r="G7" i="10"/>
  <c r="G27" i="10" s="1"/>
  <c r="AB39" i="10"/>
  <c r="P39" i="10"/>
  <c r="P42" i="10" s="1"/>
  <c r="L21" i="10"/>
  <c r="L26" i="10" s="1"/>
  <c r="L25" i="10" s="1"/>
  <c r="L28" i="10" s="1"/>
  <c r="AB13" i="10"/>
  <c r="T13" i="10"/>
  <c r="P12" i="10"/>
  <c r="P45" i="10" s="1"/>
  <c r="U13" i="10"/>
  <c r="X13" i="10"/>
  <c r="S13" i="10"/>
  <c r="G24" i="10" l="1"/>
  <c r="G23" i="10"/>
  <c r="G20" i="10"/>
  <c r="F15" i="10"/>
  <c r="F17" i="10" s="1"/>
  <c r="K7" i="10"/>
  <c r="J17" i="10" s="1"/>
  <c r="G32" i="10"/>
  <c r="G19" i="10"/>
  <c r="P47" i="10"/>
  <c r="P48" i="10" s="1"/>
  <c r="P51" i="10" s="1"/>
  <c r="P53" i="10" s="1"/>
  <c r="E11" i="16" s="1"/>
  <c r="H17" i="10" l="1"/>
  <c r="K17" i="10"/>
  <c r="I17" i="10"/>
  <c r="I12" i="10"/>
  <c r="J38" i="10"/>
  <c r="C17" i="10"/>
  <c r="C45" i="10" s="1"/>
  <c r="E12" i="10"/>
  <c r="D12" i="10"/>
  <c r="E38" i="10"/>
  <c r="F38" i="10" s="1"/>
  <c r="D17" i="10"/>
  <c r="G22" i="10"/>
  <c r="K38" i="10"/>
  <c r="J12" i="10"/>
  <c r="J45" i="10" s="1"/>
  <c r="H12" i="10"/>
  <c r="E17" i="10"/>
  <c r="C12" i="10"/>
  <c r="I45" i="10" l="1"/>
  <c r="D45" i="10"/>
  <c r="F12" i="10"/>
  <c r="F45" i="10" s="1"/>
  <c r="E45" i="10"/>
  <c r="K12" i="10"/>
  <c r="K45" i="10" s="1"/>
  <c r="G30" i="10"/>
  <c r="G31" i="10" s="1"/>
  <c r="G29" i="10" s="1"/>
  <c r="G33" i="10" s="1"/>
  <c r="G34" i="10" s="1"/>
  <c r="G21" i="10"/>
  <c r="G26" i="10" s="1"/>
  <c r="G25" i="10" s="1"/>
  <c r="G28" i="10" s="1"/>
  <c r="F52" i="10"/>
  <c r="K52" i="10"/>
  <c r="H45" i="10"/>
  <c r="K39" i="10" s="1"/>
  <c r="K42" i="10" s="1"/>
  <c r="K47" i="10" l="1"/>
  <c r="K48" i="10" s="1"/>
  <c r="K51" i="10" s="1"/>
  <c r="K53" i="10" s="1"/>
  <c r="D11" i="16" s="1"/>
  <c r="F39" i="10"/>
  <c r="F42" i="10" s="1"/>
  <c r="F47" i="10" s="1"/>
  <c r="F48" i="10" s="1"/>
  <c r="F51" i="10" s="1"/>
  <c r="F53" i="10" s="1"/>
  <c r="C11" i="16" s="1"/>
</calcChain>
</file>

<file path=xl/sharedStrings.xml><?xml version="1.0" encoding="utf-8"?>
<sst xmlns="http://schemas.openxmlformats.org/spreadsheetml/2006/main" count="574" uniqueCount="512">
  <si>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</si>
  <si>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</si>
  <si>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</si>
  <si>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</si>
  <si>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</si>
  <si>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</si>
  <si>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</si>
  <si>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</si>
  <si>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</si>
  <si>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</si>
  <si>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</si>
  <si>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</si>
  <si>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</si>
  <si>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</si>
  <si>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</si>
  <si>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</si>
  <si>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</si>
  <si>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</si>
  <si>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</si>
  <si>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</si>
  <si>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</si>
  <si>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</si>
  <si>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</si>
  <si>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</si>
  <si>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</si>
  <si>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</si>
  <si>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</si>
  <si>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</si>
  <si>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</si>
  <si>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</si>
  <si>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</si>
  <si>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</si>
  <si>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</si>
  <si>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</si>
  <si>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</si>
  <si>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</si>
  <si>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</si>
  <si>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</si>
  <si>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</si>
  <si>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</si>
  <si>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</si>
  <si>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</si>
  <si>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</si>
  <si>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</si>
  <si>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</si>
  <si>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</si>
  <si>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</si>
  <si>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</si>
  <si>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</si>
  <si>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</si>
  <si>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</si>
  <si>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</si>
  <si>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</si>
  <si>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</si>
  <si>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</si>
  <si>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</si>
  <si>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</si>
  <si>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</si>
  <si>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</si>
  <si>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</si>
  <si>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</si>
  <si>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</si>
  <si>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</si>
  <si>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</si>
  <si>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</si>
  <si>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</si>
  <si>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</si>
  <si>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</si>
  <si>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</si>
  <si>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</si>
  <si>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</si>
  <si>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</si>
  <si>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</si>
  <si>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</si>
  <si>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</si>
  <si>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</si>
  <si>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</si>
  <si>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</si>
  <si>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</si>
  <si>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</si>
  <si>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</si>
  <si>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</si>
  <si>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</si>
  <si>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</si>
  <si>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</si>
  <si>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</si>
  <si>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</si>
  <si>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</si>
  <si>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</si>
  <si>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</si>
  <si>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</si>
  <si>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</si>
  <si>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</si>
  <si>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</si>
  <si>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</si>
  <si>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</si>
  <si>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</si>
  <si>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</si>
  <si>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</si>
  <si>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</si>
  <si>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</si>
  <si>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</si>
  <si>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</si>
  <si>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</si>
  <si>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</si>
  <si>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</si>
  <si>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</si>
  <si>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</si>
  <si>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</si>
  <si>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</si>
  <si>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</si>
  <si>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</si>
  <si>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</si>
  <si>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</si>
  <si>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</si>
  <si>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</si>
  <si>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</si>
  <si>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</si>
  <si>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</si>
  <si>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</si>
  <si>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</si>
  <si>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</si>
  <si>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</si>
  <si>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</si>
  <si>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</si>
  <si>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</si>
  <si>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</si>
  <si>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</si>
  <si>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</si>
  <si>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</si>
  <si>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</si>
  <si>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</si>
  <si>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</si>
  <si>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</si>
  <si>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</si>
  <si>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</si>
  <si>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</si>
  <si>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</si>
  <si>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</si>
  <si>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</si>
  <si>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</si>
  <si>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</si>
  <si>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</si>
  <si>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</si>
  <si>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</si>
  <si>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</si>
  <si>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</si>
  <si>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</si>
  <si>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</si>
  <si>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</si>
  <si>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</si>
  <si>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</si>
  <si>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</si>
  <si>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</si>
  <si>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</si>
  <si>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</si>
  <si>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</si>
  <si>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</si>
  <si>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</si>
  <si>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</si>
  <si>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</si>
  <si>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</si>
  <si>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</si>
  <si>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</si>
  <si>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</si>
  <si>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</si>
  <si>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</si>
  <si>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</si>
  <si>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</si>
  <si>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</si>
  <si>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</si>
  <si>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</si>
  <si>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</si>
  <si>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</si>
  <si>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</si>
  <si>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</si>
  <si>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</si>
  <si>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</si>
  <si>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</si>
  <si>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</si>
  <si>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</si>
  <si>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</si>
  <si>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</si>
  <si>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</si>
  <si>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</si>
  <si>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</si>
  <si>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</si>
  <si>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</si>
  <si>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</si>
  <si>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</si>
  <si>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</si>
  <si>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</si>
  <si>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</si>
  <si>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</si>
  <si>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</si>
  <si>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</si>
  <si>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</si>
  <si>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</si>
  <si>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</si>
  <si>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</si>
  <si>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</si>
  <si>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</si>
  <si>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</si>
  <si>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</si>
  <si>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</si>
  <si>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</si>
  <si>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</si>
  <si>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</si>
  <si>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</si>
  <si>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</si>
  <si>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</si>
  <si>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</si>
  <si>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</si>
  <si>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</si>
  <si>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</si>
  <si>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</si>
  <si>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</si>
  <si>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</si>
  <si>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</si>
  <si>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</si>
  <si>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</si>
  <si>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</si>
  <si>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</si>
  <si>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</si>
  <si>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</si>
  <si>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</si>
  <si>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</si>
  <si>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</si>
  <si>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</si>
  <si>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</si>
  <si>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</si>
  <si>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</si>
  <si>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</si>
  <si>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</si>
  <si>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</si>
  <si>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</si>
  <si>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</si>
  <si>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</si>
  <si>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</si>
  <si>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</si>
  <si>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</si>
  <si>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</si>
  <si>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</si>
  <si>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</si>
  <si>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</si>
  <si>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</si>
  <si>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</si>
  <si>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</si>
  <si>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</si>
  <si>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</si>
  <si>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</si>
  <si>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</si>
  <si>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</si>
  <si>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</si>
  <si>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</si>
  <si>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</si>
  <si>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</si>
  <si>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</si>
  <si>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</si>
  <si>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</si>
  <si>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</si>
  <si>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</si>
  <si>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</si>
  <si>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</si>
  <si>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</si>
  <si>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</si>
  <si>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</si>
  <si>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</si>
  <si>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</si>
  <si>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</si>
  <si>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</si>
  <si>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</si>
  <si>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</si>
  <si>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</si>
  <si>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</si>
  <si>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</si>
  <si>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</si>
  <si>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</si>
  <si>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</si>
  <si>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</si>
  <si>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</si>
  <si>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</si>
  <si>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</si>
  <si>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</si>
  <si>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</si>
  <si>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</si>
  <si>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</si>
  <si>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</si>
  <si>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</si>
  <si>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</si>
  <si>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</si>
  <si>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</si>
  <si>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</si>
  <si>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</si>
  <si>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</si>
  <si>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</si>
  <si>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</si>
  <si>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</si>
  <si>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</si>
  <si>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</si>
  <si>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</si>
  <si>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</si>
  <si>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</si>
  <si>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</si>
  <si>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</si>
  <si>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</si>
  <si>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</si>
  <si>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</si>
  <si>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</si>
  <si>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</si>
  <si>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</si>
  <si>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</si>
  <si>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</si>
  <si>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</si>
  <si>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</si>
  <si>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</si>
  <si>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</si>
  <si>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</si>
  <si>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</si>
  <si>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</si>
  <si>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</si>
  <si>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</si>
  <si>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</si>
  <si>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</si>
  <si>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</si>
  <si>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</si>
  <si>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</si>
  <si>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</si>
  <si>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</si>
  <si>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</si>
  <si>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</si>
  <si>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</si>
  <si>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</si>
  <si>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</si>
  <si>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</si>
  <si>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</si>
  <si>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</si>
  <si>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</si>
  <si>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</si>
  <si>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</si>
  <si>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</si>
  <si>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</si>
  <si>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</si>
  <si>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</si>
  <si>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</si>
  <si>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</si>
  <si>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</si>
  <si>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</si>
  <si>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</si>
  <si>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</si>
  <si>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</si>
  <si>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</si>
  <si>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</si>
  <si>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</si>
  <si>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</si>
  <si>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</si>
  <si>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</si>
  <si>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</si>
  <si>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</si>
  <si>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</si>
  <si>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</si>
  <si>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</si>
  <si>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</si>
  <si>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</si>
  <si>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</si>
  <si>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</si>
  <si>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</si>
  <si>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</si>
  <si>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</si>
  <si>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</si>
  <si>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</si>
  <si>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</si>
  <si>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</si>
  <si>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</si>
  <si>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</si>
  <si>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</si>
  <si>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</si>
  <si>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</si>
  <si>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</si>
  <si>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</si>
  <si>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</si>
  <si>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</si>
  <si>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</si>
  <si>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</si>
  <si>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</si>
  <si>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</si>
  <si>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</si>
  <si>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</si>
  <si>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</si>
  <si>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</si>
  <si>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</si>
  <si>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</si>
  <si>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</si>
  <si>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</si>
  <si>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</si>
  <si>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</si>
  <si>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</si>
  <si>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</si>
  <si>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</si>
  <si>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</si>
  <si>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</si>
  <si>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</si>
  <si>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</si>
  <si>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</si>
  <si>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</si>
  <si>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</si>
  <si>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</si>
  <si>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</si>
  <si>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</si>
  <si>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</si>
  <si>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</si>
  <si>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</si>
  <si>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</si>
  <si>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</si>
  <si>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</si>
  <si>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</si>
  <si>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</si>
  <si>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</si>
  <si>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</si>
  <si>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</si>
  <si>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</si>
  <si>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</si>
  <si>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</si>
  <si>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</si>
  <si>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</si>
  <si>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</si>
  <si>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</si>
  <si>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</si>
  <si>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</si>
  <si>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</si>
  <si>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</si>
  <si>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</si>
  <si>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</si>
  <si>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</si>
  <si>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</si>
  <si>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</si>
  <si>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</si>
  <si>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</si>
  <si>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</si>
  <si>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</si>
  <si>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</si>
  <si>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</si>
  <si>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</si>
  <si>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</si>
  <si>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</si>
  <si>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</si>
  <si>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</si>
  <si>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</si>
  <si>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</si>
  <si>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</si>
  <si>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</si>
  <si>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</si>
  <si>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</si>
  <si>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</si>
  <si>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</si>
  <si>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</si>
  <si>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</si>
  <si>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</si>
  <si>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</si>
  <si>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</si>
  <si>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</si>
  <si>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</si>
  <si>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</si>
  <si>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</si>
  <si>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</si>
  <si>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</si>
  <si>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</si>
  <si>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</si>
  <si>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</si>
  <si>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</si>
  <si>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</si>
  <si>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</si>
  <si>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</si>
  <si>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</si>
  <si>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</si>
  <si>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</si>
  <si>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</si>
  <si>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</si>
  <si>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</si>
  <si>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</si>
  <si>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</si>
  <si>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</si>
  <si>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</si>
  <si>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</si>
  <si>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</si>
  <si>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</si>
  <si>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</si>
  <si>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</si>
  <si>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</si>
  <si>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</si>
  <si>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</si>
  <si>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</si>
  <si>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</si>
  <si>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</si>
  <si>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</si>
  <si>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</si>
  <si>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</si>
  <si>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</si>
  <si>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</si>
  <si>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</si>
  <si>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</si>
  <si>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</si>
  <si>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</si>
  <si>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</si>
  <si>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</si>
  <si>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23307</t>
  </si>
  <si>
    <t>215</t>
  </si>
  <si>
    <t>Humana Insurance Company</t>
  </si>
  <si>
    <t>Humana Insurance of Puerto Rico, Inc.</t>
  </si>
  <si>
    <t>Emphesys Insurance Company</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</si>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</sst>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138</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3" sqref="C4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5736632</v>
      </c>
      <c r="E5" s="213">
        <f>SUM('Pt 2 Premium and Claims'!E$5,'Pt 2 Premium and Claims'!E$6,-'Pt 2 Premium and Claims'!E$7,-'Pt 2 Premium and Claims'!E$13,'Pt 2 Premium and Claims'!E$14:'Pt 2 Premium and Claims'!E$17)</f>
        <v>6019907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6019907</v>
      </c>
      <c r="J5" s="212">
        <f>SUM('Pt 2 Premium and Claims'!J$5,'Pt 2 Premium and Claims'!J$6,-'Pt 2 Premium and Claims'!J$7,-'Pt 2 Premium and Claims'!J$13,'Pt 2 Premium and Claims'!J$14,'Pt 2 Premium and Claims'!J$16:'Pt 2 Premium and Claims'!J$17)</f>
        <v>35839274</v>
      </c>
      <c r="K5" s="213">
        <f>SUM('Pt 2 Premium and Claims'!K$5,'Pt 2 Premium and Claims'!K$6,-'Pt 2 Premium and Claims'!K$7,-'Pt 2 Premium and Claims'!K$13,'Pt 2 Premium and Claims'!K$14,'Pt 2 Premium and Claims'!K$16:'Pt 2 Premium and Claims'!K$17)</f>
        <v>42770791.288904496</v>
      </c>
      <c r="L5" s="213">
        <f>SUM('Pt 2 Premium and Claims'!L$5,'Pt 2 Premium and Claims'!L$6,-'Pt 2 Premium and Claims'!L$7,-'Pt 2 Premium and Claims'!L$13,'Pt 2 Premium and Claims'!L$14,'Pt 2 Premium and Claims'!L$16:'Pt 2 Premium and Claims'!L$17)</f>
        <v>9310824.6300000008</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34663737</v>
      </c>
      <c r="Q5" s="213">
        <f>SUM('Pt 2 Premium and Claims'!Q$5,'Pt 2 Premium and Claims'!Q$6,-'Pt 2 Premium and Claims'!Q$7,-'Pt 2 Premium and Claims'!Q$13,'Pt 2 Premium and Claims'!Q$14)</f>
        <v>41193880.313656896</v>
      </c>
      <c r="R5" s="213">
        <f>SUM('Pt 2 Premium and Claims'!R$5,'Pt 2 Premium and Claims'!R$6,-'Pt 2 Premium and Claims'!R$7,-'Pt 2 Premium and Claims'!R$13,'Pt 2 Premium and Claims'!R$14)</f>
        <v>5686803.6699999999</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v>0</v>
      </c>
      <c r="J7" s="216">
        <v>0</v>
      </c>
      <c r="K7" s="217">
        <v>-141.13</v>
      </c>
      <c r="L7" s="217">
        <v>-141.13</v>
      </c>
      <c r="M7" s="217"/>
      <c r="N7" s="217"/>
      <c r="O7" s="216"/>
      <c r="P7" s="216">
        <v>0</v>
      </c>
      <c r="Q7" s="217">
        <v>-229.29</v>
      </c>
      <c r="R7" s="217">
        <v>-229.29</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-61924</v>
      </c>
      <c r="E8" s="268"/>
      <c r="F8" s="269"/>
      <c r="G8" s="269"/>
      <c r="H8" s="269"/>
      <c r="I8" s="272"/>
      <c r="J8" s="216">
        <v>-76190</v>
      </c>
      <c r="K8" s="268"/>
      <c r="L8" s="269"/>
      <c r="M8" s="269"/>
      <c r="N8" s="269"/>
      <c r="O8" s="272"/>
      <c r="P8" s="216">
        <v>-51891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4697212</v>
      </c>
      <c r="E12" s="213">
        <f>'Pt 2 Premium and Claims'!E$54</f>
        <v>5778329</v>
      </c>
      <c r="F12" s="213">
        <f>'Pt 2 Premium and Claims'!F$54</f>
        <v>0</v>
      </c>
      <c r="G12" s="213">
        <f>'Pt 2 Premium and Claims'!G$54</f>
        <v>0</v>
      </c>
      <c r="H12" s="213">
        <f>'Pt 2 Premium and Claims'!H$54</f>
        <v>0</v>
      </c>
      <c r="I12" s="212">
        <f>'Pt 2 Premium and Claims'!I$54</f>
        <v>5778329</v>
      </c>
      <c r="J12" s="212">
        <f>'Pt 2 Premium and Claims'!J$54</f>
        <v>27333650</v>
      </c>
      <c r="K12" s="213">
        <f>'Pt 2 Premium and Claims'!K$54</f>
        <v>33178093.697844338</v>
      </c>
      <c r="L12" s="213">
        <f>'Pt 2 Premium and Claims'!L$54</f>
        <v>7487085.209774741</v>
      </c>
      <c r="M12" s="213">
        <f>'Pt 2 Premium and Claims'!M$54</f>
        <v>0</v>
      </c>
      <c r="N12" s="213">
        <f>'Pt 2 Premium and Claims'!N$54</f>
        <v>0</v>
      </c>
      <c r="O12" s="212">
        <f>'Pt 2 Premium and Claims'!O$54</f>
        <v>0</v>
      </c>
      <c r="P12" s="212">
        <f>'Pt 2 Premium and Claims'!P$54</f>
        <v>30729600</v>
      </c>
      <c r="Q12" s="213">
        <f>'Pt 2 Premium and Claims'!Q$54</f>
        <v>34025683.65798571</v>
      </c>
      <c r="R12" s="213">
        <f>'Pt 2 Premium and Claims'!R$54</f>
        <v>4607080.3967219228</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744948</v>
      </c>
      <c r="E13" s="217">
        <v>792547</v>
      </c>
      <c r="F13" s="217"/>
      <c r="G13" s="268"/>
      <c r="H13" s="269"/>
      <c r="I13" s="216">
        <v>792547</v>
      </c>
      <c r="J13" s="216">
        <v>7085264</v>
      </c>
      <c r="K13" s="217">
        <v>6893835.7774291057</v>
      </c>
      <c r="L13" s="217"/>
      <c r="M13" s="268"/>
      <c r="N13" s="269"/>
      <c r="O13" s="216"/>
      <c r="P13" s="216">
        <v>5946882</v>
      </c>
      <c r="Q13" s="217">
        <v>6165118.4576129327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78929</v>
      </c>
      <c r="E14" s="217">
        <v>65697</v>
      </c>
      <c r="F14" s="217"/>
      <c r="G14" s="267"/>
      <c r="H14" s="270"/>
      <c r="I14" s="216">
        <v>65697</v>
      </c>
      <c r="J14" s="216">
        <v>1219353</v>
      </c>
      <c r="K14" s="217">
        <v>1200357.4104669709</v>
      </c>
      <c r="L14" s="217"/>
      <c r="M14" s="267"/>
      <c r="N14" s="270"/>
      <c r="O14" s="216"/>
      <c r="P14" s="216">
        <v>977668</v>
      </c>
      <c r="Q14" s="217">
        <v>999022.45699302433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13</v>
      </c>
      <c r="E15" s="217">
        <v>13</v>
      </c>
      <c r="F15" s="217"/>
      <c r="G15" s="267"/>
      <c r="H15" s="273"/>
      <c r="I15" s="216">
        <v>13</v>
      </c>
      <c r="J15" s="216">
        <v>76</v>
      </c>
      <c r="K15" s="217">
        <v>113.81137970805027</v>
      </c>
      <c r="L15" s="217">
        <v>39.914761883027701</v>
      </c>
      <c r="M15" s="267"/>
      <c r="N15" s="273"/>
      <c r="O15" s="216"/>
      <c r="P15" s="216">
        <v>85</v>
      </c>
      <c r="Q15" s="217">
        <v>113.85862029194973</v>
      </c>
      <c r="R15" s="217">
        <v>26.395238116972301</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-779557</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403119</v>
      </c>
      <c r="E17" s="267"/>
      <c r="F17" s="270"/>
      <c r="G17" s="270"/>
      <c r="H17" s="270"/>
      <c r="I17" s="271"/>
      <c r="J17" s="216">
        <v>-67773</v>
      </c>
      <c r="K17" s="267"/>
      <c r="L17" s="270"/>
      <c r="M17" s="270"/>
      <c r="N17" s="270"/>
      <c r="O17" s="271"/>
      <c r="P17" s="216">
        <v>-1628912</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78808</v>
      </c>
      <c r="K18" s="267"/>
      <c r="L18" s="270"/>
      <c r="M18" s="270"/>
      <c r="N18" s="273"/>
      <c r="O18" s="271"/>
      <c r="P18" s="216">
        <v>1462885</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14765</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3732</v>
      </c>
      <c r="K20" s="267"/>
      <c r="L20" s="270"/>
      <c r="M20" s="270"/>
      <c r="N20" s="270"/>
      <c r="O20" s="271"/>
      <c r="P20" s="216">
        <v>1723</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8755.42</v>
      </c>
      <c r="E22" s="222">
        <f>'Pt 2 Premium and Claims'!E$55</f>
        <v>8755</v>
      </c>
      <c r="F22" s="222">
        <f>'Pt 2 Premium and Claims'!F$55</f>
        <v>0</v>
      </c>
      <c r="G22" s="222">
        <f>'Pt 2 Premium and Claims'!G$55</f>
        <v>0</v>
      </c>
      <c r="H22" s="222">
        <f>'Pt 2 Premium and Claims'!H$55</f>
        <v>0</v>
      </c>
      <c r="I22" s="221">
        <f>'Pt 2 Premium and Claims'!I$55</f>
        <v>8755</v>
      </c>
      <c r="J22" s="221">
        <f>'Pt 2 Premium and Claims'!J$55</f>
        <v>62937.14</v>
      </c>
      <c r="K22" s="222">
        <f>'Pt 2 Premium and Claims'!K$55</f>
        <v>77021.122715542006</v>
      </c>
      <c r="L22" s="222">
        <f>'Pt 2 Premium and Claims'!L$55</f>
        <v>15693.156912887904</v>
      </c>
      <c r="M22" s="222">
        <f>'Pt 2 Premium and Claims'!M$55</f>
        <v>0</v>
      </c>
      <c r="N22" s="222">
        <f>'Pt 2 Premium and Claims'!N$55</f>
        <v>0</v>
      </c>
      <c r="O22" s="221">
        <f>'Pt 2 Premium and Claims'!O$55</f>
        <v>0</v>
      </c>
      <c r="P22" s="221">
        <f>'Pt 2 Premium and Claims'!P$55</f>
        <v>57526</v>
      </c>
      <c r="Q22" s="222">
        <f>'Pt 2 Premium and Claims'!Q$55</f>
        <v>60852.91</v>
      </c>
      <c r="R22" s="222">
        <f>'Pt 2 Premium and Claims'!R$55</f>
        <v>3326.47</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139835.22</v>
      </c>
      <c r="E25" s="217">
        <v>139835.22000003373</v>
      </c>
      <c r="F25" s="217"/>
      <c r="G25" s="217"/>
      <c r="H25" s="217"/>
      <c r="I25" s="216">
        <v>-24124</v>
      </c>
      <c r="J25" s="216">
        <v>-127071.3</v>
      </c>
      <c r="K25" s="217">
        <v>178569.82203889103</v>
      </c>
      <c r="L25" s="217">
        <v>394565.05138239486</v>
      </c>
      <c r="M25" s="217"/>
      <c r="N25" s="217"/>
      <c r="O25" s="216"/>
      <c r="P25" s="216">
        <v>215132.27</v>
      </c>
      <c r="Q25" s="217">
        <v>190233.31933626716</v>
      </c>
      <c r="R25" s="217">
        <v>-113818.78300439086</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-1603.68</v>
      </c>
      <c r="E26" s="217">
        <v>-1604</v>
      </c>
      <c r="F26" s="217"/>
      <c r="G26" s="217"/>
      <c r="H26" s="217"/>
      <c r="I26" s="216">
        <v>-1604</v>
      </c>
      <c r="J26" s="216">
        <v>20103.5</v>
      </c>
      <c r="K26" s="217">
        <v>24408.788682476948</v>
      </c>
      <c r="L26" s="217">
        <v>4821.2557563200762</v>
      </c>
      <c r="M26" s="217"/>
      <c r="N26" s="217"/>
      <c r="O26" s="216"/>
      <c r="P26" s="216">
        <v>22104.23</v>
      </c>
      <c r="Q26" s="217">
        <v>26872.141317523052</v>
      </c>
      <c r="R26" s="217">
        <v>4251.9442436799236</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96045.23</v>
      </c>
      <c r="E27" s="217">
        <v>96045</v>
      </c>
      <c r="F27" s="217"/>
      <c r="G27" s="217"/>
      <c r="H27" s="217"/>
      <c r="I27" s="216">
        <v>96045</v>
      </c>
      <c r="J27" s="216">
        <v>558922.81000000006</v>
      </c>
      <c r="K27" s="217">
        <v>696174.17574092594</v>
      </c>
      <c r="L27" s="217">
        <v>152140.16346123864</v>
      </c>
      <c r="M27" s="217"/>
      <c r="N27" s="217"/>
      <c r="O27" s="216"/>
      <c r="P27" s="216">
        <v>599286.54</v>
      </c>
      <c r="Q27" s="217">
        <v>714735.28425907402</v>
      </c>
      <c r="R27" s="217">
        <v>100559.94653876136</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13823.63</v>
      </c>
      <c r="E28" s="217">
        <v>13824</v>
      </c>
      <c r="F28" s="217"/>
      <c r="G28" s="217"/>
      <c r="H28" s="217"/>
      <c r="I28" s="216">
        <v>13824</v>
      </c>
      <c r="J28" s="216">
        <v>79362.33</v>
      </c>
      <c r="K28" s="217">
        <v>97557.845183900223</v>
      </c>
      <c r="L28" s="217">
        <v>20243.541752896032</v>
      </c>
      <c r="M28" s="217"/>
      <c r="N28" s="217"/>
      <c r="O28" s="216"/>
      <c r="P28" s="216">
        <v>76480.800000000003</v>
      </c>
      <c r="Q28" s="217">
        <v>93580.074816099775</v>
      </c>
      <c r="R28" s="217">
        <v>15051.248247103968</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16424.22</v>
      </c>
      <c r="E30" s="217">
        <v>16424.220000002992</v>
      </c>
      <c r="F30" s="217"/>
      <c r="G30" s="217"/>
      <c r="H30" s="217"/>
      <c r="I30" s="216">
        <v>1877</v>
      </c>
      <c r="J30" s="216">
        <v>17163.7</v>
      </c>
      <c r="K30" s="217">
        <v>41774.488184598893</v>
      </c>
      <c r="L30" s="217">
        <v>33230.488142124086</v>
      </c>
      <c r="M30" s="217"/>
      <c r="N30" s="217"/>
      <c r="O30" s="216"/>
      <c r="P30" s="216">
        <v>42977.5</v>
      </c>
      <c r="Q30" s="217">
        <v>44441.440914272644</v>
      </c>
      <c r="R30" s="217">
        <v>-7155.3955464621304</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v>0</v>
      </c>
      <c r="J31" s="216"/>
      <c r="K31" s="217">
        <v>143390.58096591238</v>
      </c>
      <c r="L31" s="217">
        <v>143390.58096591238</v>
      </c>
      <c r="M31" s="217"/>
      <c r="N31" s="217"/>
      <c r="O31" s="216"/>
      <c r="P31" s="216"/>
      <c r="Q31" s="217">
        <v>93016.699034087622</v>
      </c>
      <c r="R31" s="217">
        <v>93016.699034087622</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17425.490000000002</v>
      </c>
      <c r="E34" s="217">
        <v>69513</v>
      </c>
      <c r="F34" s="217"/>
      <c r="G34" s="217"/>
      <c r="H34" s="217"/>
      <c r="I34" s="216">
        <v>69513</v>
      </c>
      <c r="J34" s="216">
        <v>539819.36</v>
      </c>
      <c r="K34" s="217">
        <v>526084.84609441913</v>
      </c>
      <c r="L34" s="217"/>
      <c r="M34" s="217"/>
      <c r="N34" s="217"/>
      <c r="O34" s="216"/>
      <c r="P34" s="216">
        <v>405201.64</v>
      </c>
      <c r="Q34" s="217">
        <v>418936.15390558087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128666.45</v>
      </c>
      <c r="E35" s="217">
        <v>128666</v>
      </c>
      <c r="F35" s="217"/>
      <c r="G35" s="217"/>
      <c r="H35" s="217"/>
      <c r="I35" s="216">
        <v>128666</v>
      </c>
      <c r="J35" s="216">
        <v>30502.58</v>
      </c>
      <c r="K35" s="217">
        <v>37452.488289640292</v>
      </c>
      <c r="L35" s="217">
        <v>7732.4862233615559</v>
      </c>
      <c r="M35" s="217"/>
      <c r="N35" s="217"/>
      <c r="O35" s="216"/>
      <c r="P35" s="216">
        <v>23246.86</v>
      </c>
      <c r="Q35" s="217">
        <v>28681.341710359706</v>
      </c>
      <c r="R35" s="217">
        <v>4651.9037766384436</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12805</v>
      </c>
      <c r="E37" s="225">
        <v>12805</v>
      </c>
      <c r="F37" s="225"/>
      <c r="G37" s="225"/>
      <c r="H37" s="225"/>
      <c r="I37" s="224">
        <v>12805</v>
      </c>
      <c r="J37" s="224">
        <v>104101</v>
      </c>
      <c r="K37" s="225">
        <v>109273.32965924426</v>
      </c>
      <c r="L37" s="225">
        <v>8313.0745879498045</v>
      </c>
      <c r="M37" s="225"/>
      <c r="N37" s="225"/>
      <c r="O37" s="224"/>
      <c r="P37" s="224">
        <v>138267</v>
      </c>
      <c r="Q37" s="225">
        <v>163019.67034075572</v>
      </c>
      <c r="R37" s="225">
        <v>21612.055412050195</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64395</v>
      </c>
      <c r="AW37" s="296"/>
    </row>
    <row r="38" spans="1:49" x14ac:dyDescent="0.2">
      <c r="B38" s="239" t="s">
        <v>254</v>
      </c>
      <c r="C38" s="203" t="s">
        <v>16</v>
      </c>
      <c r="D38" s="216">
        <v>1455</v>
      </c>
      <c r="E38" s="217">
        <v>1455</v>
      </c>
      <c r="F38" s="217"/>
      <c r="G38" s="217"/>
      <c r="H38" s="217"/>
      <c r="I38" s="216">
        <v>1455</v>
      </c>
      <c r="J38" s="216">
        <v>54399</v>
      </c>
      <c r="K38" s="217">
        <v>51141.895434960243</v>
      </c>
      <c r="L38" s="217">
        <v>-1447.1439731467683</v>
      </c>
      <c r="M38" s="217"/>
      <c r="N38" s="217"/>
      <c r="O38" s="216"/>
      <c r="P38" s="216">
        <v>90111</v>
      </c>
      <c r="Q38" s="217">
        <v>108401.56456503976</v>
      </c>
      <c r="R38" s="217">
        <v>16480.943973146768</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30630</v>
      </c>
      <c r="AW38" s="297"/>
    </row>
    <row r="39" spans="1:49" x14ac:dyDescent="0.2">
      <c r="B39" s="242" t="s">
        <v>255</v>
      </c>
      <c r="C39" s="203" t="s">
        <v>17</v>
      </c>
      <c r="D39" s="216">
        <v>6759</v>
      </c>
      <c r="E39" s="217">
        <v>6759</v>
      </c>
      <c r="F39" s="217"/>
      <c r="G39" s="217"/>
      <c r="H39" s="217"/>
      <c r="I39" s="216">
        <v>6759</v>
      </c>
      <c r="J39" s="216">
        <v>63551</v>
      </c>
      <c r="K39" s="217">
        <v>63753.449128959153</v>
      </c>
      <c r="L39" s="217">
        <v>1952.2521230678244</v>
      </c>
      <c r="M39" s="217"/>
      <c r="N39" s="217"/>
      <c r="O39" s="216"/>
      <c r="P39" s="216">
        <v>63274</v>
      </c>
      <c r="Q39" s="217">
        <v>69455.550871040847</v>
      </c>
      <c r="R39" s="217">
        <v>4432.6178769321759</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13676</v>
      </c>
      <c r="AW39" s="297"/>
    </row>
    <row r="40" spans="1:49" x14ac:dyDescent="0.2">
      <c r="B40" s="242" t="s">
        <v>256</v>
      </c>
      <c r="C40" s="203" t="s">
        <v>38</v>
      </c>
      <c r="D40" s="216">
        <v>14238</v>
      </c>
      <c r="E40" s="217">
        <v>14238</v>
      </c>
      <c r="F40" s="217"/>
      <c r="G40" s="217"/>
      <c r="H40" s="217"/>
      <c r="I40" s="216">
        <v>14238</v>
      </c>
      <c r="J40" s="216">
        <v>506521</v>
      </c>
      <c r="K40" s="217">
        <v>505774.53508441622</v>
      </c>
      <c r="L40" s="217">
        <v>12392.877708385335</v>
      </c>
      <c r="M40" s="217"/>
      <c r="N40" s="217"/>
      <c r="O40" s="216"/>
      <c r="P40" s="216">
        <v>421227</v>
      </c>
      <c r="Q40" s="217">
        <v>456309.27491558378</v>
      </c>
      <c r="R40" s="217">
        <v>21942.702291614667</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38822</v>
      </c>
      <c r="AW40" s="297"/>
    </row>
    <row r="41" spans="1:49" s="5" customFormat="1" ht="25.5" x14ac:dyDescent="0.2">
      <c r="A41" s="35"/>
      <c r="B41" s="242" t="s">
        <v>257</v>
      </c>
      <c r="C41" s="203" t="s">
        <v>129</v>
      </c>
      <c r="D41" s="216">
        <v>6651</v>
      </c>
      <c r="E41" s="217">
        <v>6651</v>
      </c>
      <c r="F41" s="217"/>
      <c r="G41" s="217"/>
      <c r="H41" s="217"/>
      <c r="I41" s="216">
        <v>6651</v>
      </c>
      <c r="J41" s="216">
        <v>63698</v>
      </c>
      <c r="K41" s="217">
        <v>77840.81381723276</v>
      </c>
      <c r="L41" s="217">
        <v>15769.840892840411</v>
      </c>
      <c r="M41" s="217"/>
      <c r="N41" s="217"/>
      <c r="O41" s="216"/>
      <c r="P41" s="216">
        <v>54303</v>
      </c>
      <c r="Q41" s="217">
        <v>66075.30618276725</v>
      </c>
      <c r="R41" s="217">
        <v>10145.039107159588</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3460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74601</v>
      </c>
      <c r="E44" s="225">
        <v>74601</v>
      </c>
      <c r="F44" s="225"/>
      <c r="G44" s="225"/>
      <c r="H44" s="225"/>
      <c r="I44" s="224">
        <v>74601</v>
      </c>
      <c r="J44" s="224">
        <v>508080</v>
      </c>
      <c r="K44" s="225">
        <v>560128.20065132028</v>
      </c>
      <c r="L44" s="225">
        <v>65243.848684841476</v>
      </c>
      <c r="M44" s="225"/>
      <c r="N44" s="225"/>
      <c r="O44" s="224"/>
      <c r="P44" s="224">
        <v>474710</v>
      </c>
      <c r="Q44" s="225">
        <v>539042.5293486797</v>
      </c>
      <c r="R44" s="225">
        <v>51136.461315158522</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23274</v>
      </c>
      <c r="AW44" s="296"/>
    </row>
    <row r="45" spans="1:49" x14ac:dyDescent="0.2">
      <c r="B45" s="245" t="s">
        <v>261</v>
      </c>
      <c r="C45" s="203" t="s">
        <v>19</v>
      </c>
      <c r="D45" s="216">
        <v>44655</v>
      </c>
      <c r="E45" s="217">
        <v>44655</v>
      </c>
      <c r="F45" s="217"/>
      <c r="G45" s="217"/>
      <c r="H45" s="217"/>
      <c r="I45" s="216">
        <v>44655</v>
      </c>
      <c r="J45" s="216">
        <v>281160</v>
      </c>
      <c r="K45" s="217">
        <v>320208.16217705462</v>
      </c>
      <c r="L45" s="217">
        <v>46236.071777644007</v>
      </c>
      <c r="M45" s="217"/>
      <c r="N45" s="217"/>
      <c r="O45" s="216"/>
      <c r="P45" s="216">
        <v>263802</v>
      </c>
      <c r="Q45" s="217">
        <v>301229.42782294535</v>
      </c>
      <c r="R45" s="217">
        <v>30239.438222355991</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17905</v>
      </c>
      <c r="AW45" s="297"/>
    </row>
    <row r="46" spans="1:49" x14ac:dyDescent="0.2">
      <c r="B46" s="245" t="s">
        <v>262</v>
      </c>
      <c r="C46" s="203" t="s">
        <v>20</v>
      </c>
      <c r="D46" s="216">
        <v>28842</v>
      </c>
      <c r="E46" s="217">
        <v>28842</v>
      </c>
      <c r="F46" s="217"/>
      <c r="G46" s="217"/>
      <c r="H46" s="217"/>
      <c r="I46" s="216">
        <v>28842</v>
      </c>
      <c r="J46" s="216">
        <v>205837</v>
      </c>
      <c r="K46" s="217">
        <v>252709.65465154996</v>
      </c>
      <c r="L46" s="217">
        <v>52218.266157101643</v>
      </c>
      <c r="M46" s="217"/>
      <c r="N46" s="217"/>
      <c r="O46" s="216"/>
      <c r="P46" s="216">
        <v>189159</v>
      </c>
      <c r="Q46" s="217">
        <v>236340.87534845003</v>
      </c>
      <c r="R46" s="217">
        <v>41836.233842898357</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14806</v>
      </c>
      <c r="AW46" s="297"/>
    </row>
    <row r="47" spans="1:49" x14ac:dyDescent="0.2">
      <c r="B47" s="245" t="s">
        <v>263</v>
      </c>
      <c r="C47" s="203" t="s">
        <v>21</v>
      </c>
      <c r="D47" s="216">
        <v>160383</v>
      </c>
      <c r="E47" s="217">
        <v>160383</v>
      </c>
      <c r="F47" s="217"/>
      <c r="G47" s="217"/>
      <c r="H47" s="217"/>
      <c r="I47" s="216">
        <v>160383</v>
      </c>
      <c r="J47" s="216">
        <v>2925688</v>
      </c>
      <c r="K47" s="217">
        <v>2859557.4135236959</v>
      </c>
      <c r="L47" s="217">
        <v>7531.7143503279012</v>
      </c>
      <c r="M47" s="217"/>
      <c r="N47" s="217"/>
      <c r="O47" s="216"/>
      <c r="P47" s="216">
        <v>1382490</v>
      </c>
      <c r="Q47" s="217">
        <v>1461752.1264763039</v>
      </c>
      <c r="R47" s="217">
        <v>5599.8556496720994</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4936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89705.35</v>
      </c>
      <c r="E49" s="217">
        <v>89705</v>
      </c>
      <c r="F49" s="217"/>
      <c r="G49" s="217"/>
      <c r="H49" s="217"/>
      <c r="I49" s="216">
        <v>89705</v>
      </c>
      <c r="J49" s="216">
        <v>-96160.07</v>
      </c>
      <c r="K49" s="217">
        <v>-84393.788183612196</v>
      </c>
      <c r="L49" s="217">
        <v>11766.747781484741</v>
      </c>
      <c r="M49" s="217"/>
      <c r="N49" s="217"/>
      <c r="O49" s="216"/>
      <c r="P49" s="216">
        <v>-178862.49</v>
      </c>
      <c r="Q49" s="217">
        <v>-182490.65181638781</v>
      </c>
      <c r="R49" s="217">
        <v>-3628.6277814847404</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408443</v>
      </c>
      <c r="E51" s="217">
        <v>408443</v>
      </c>
      <c r="F51" s="217"/>
      <c r="G51" s="217"/>
      <c r="H51" s="217"/>
      <c r="I51" s="216">
        <v>408443</v>
      </c>
      <c r="J51" s="216">
        <v>2536114</v>
      </c>
      <c r="K51" s="217">
        <v>3097942.7802741011</v>
      </c>
      <c r="L51" s="217">
        <v>626051.48789810576</v>
      </c>
      <c r="M51" s="217"/>
      <c r="N51" s="217"/>
      <c r="O51" s="216"/>
      <c r="P51" s="216">
        <v>2323060</v>
      </c>
      <c r="Q51" s="217">
        <v>2823138.2997258985</v>
      </c>
      <c r="R51" s="217">
        <v>435855.69210189424</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193753</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742</v>
      </c>
      <c r="E56" s="229">
        <v>742</v>
      </c>
      <c r="F56" s="229"/>
      <c r="G56" s="229"/>
      <c r="H56" s="229"/>
      <c r="I56" s="228">
        <v>742</v>
      </c>
      <c r="J56" s="228">
        <v>7395</v>
      </c>
      <c r="K56" s="229">
        <v>7395</v>
      </c>
      <c r="L56" s="229">
        <v>0</v>
      </c>
      <c r="M56" s="229"/>
      <c r="N56" s="229"/>
      <c r="O56" s="228"/>
      <c r="P56" s="228">
        <v>5787</v>
      </c>
      <c r="Q56" s="229">
        <v>5787</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282</v>
      </c>
      <c r="AW56" s="288"/>
    </row>
    <row r="57" spans="2:49" x14ac:dyDescent="0.2">
      <c r="B57" s="245" t="s">
        <v>272</v>
      </c>
      <c r="C57" s="203" t="s">
        <v>25</v>
      </c>
      <c r="D57" s="231">
        <v>1031</v>
      </c>
      <c r="E57" s="232">
        <v>1031</v>
      </c>
      <c r="F57" s="232"/>
      <c r="G57" s="232"/>
      <c r="H57" s="232"/>
      <c r="I57" s="231">
        <v>1031</v>
      </c>
      <c r="J57" s="231">
        <v>12236</v>
      </c>
      <c r="K57" s="232">
        <v>11862</v>
      </c>
      <c r="L57" s="232">
        <v>2344</v>
      </c>
      <c r="M57" s="232"/>
      <c r="N57" s="232"/>
      <c r="O57" s="231"/>
      <c r="P57" s="231">
        <v>10467</v>
      </c>
      <c r="Q57" s="232">
        <v>10841</v>
      </c>
      <c r="R57" s="232">
        <v>1712</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600</v>
      </c>
      <c r="AW57" s="289"/>
    </row>
    <row r="58" spans="2:49" x14ac:dyDescent="0.2">
      <c r="B58" s="245" t="s">
        <v>273</v>
      </c>
      <c r="C58" s="203" t="s">
        <v>26</v>
      </c>
      <c r="D58" s="309"/>
      <c r="E58" s="310"/>
      <c r="F58" s="310"/>
      <c r="G58" s="310"/>
      <c r="H58" s="310"/>
      <c r="I58" s="309"/>
      <c r="J58" s="231">
        <v>903</v>
      </c>
      <c r="K58" s="232">
        <v>903</v>
      </c>
      <c r="L58" s="232"/>
      <c r="M58" s="232"/>
      <c r="N58" s="232"/>
      <c r="O58" s="231"/>
      <c r="P58" s="231">
        <v>83</v>
      </c>
      <c r="Q58" s="232">
        <v>83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3</v>
      </c>
      <c r="AW58" s="289"/>
    </row>
    <row r="59" spans="2:49" x14ac:dyDescent="0.2">
      <c r="B59" s="245" t="s">
        <v>274</v>
      </c>
      <c r="C59" s="203" t="s">
        <v>27</v>
      </c>
      <c r="D59" s="231">
        <v>16251</v>
      </c>
      <c r="E59" s="232">
        <v>16365</v>
      </c>
      <c r="F59" s="232"/>
      <c r="G59" s="232"/>
      <c r="H59" s="232"/>
      <c r="I59" s="231">
        <v>16365</v>
      </c>
      <c r="J59" s="231">
        <v>146864</v>
      </c>
      <c r="K59" s="232">
        <v>143566</v>
      </c>
      <c r="L59" s="232">
        <v>29300</v>
      </c>
      <c r="M59" s="232"/>
      <c r="N59" s="232"/>
      <c r="O59" s="231"/>
      <c r="P59" s="231">
        <v>118359</v>
      </c>
      <c r="Q59" s="232">
        <v>121484</v>
      </c>
      <c r="R59" s="232">
        <v>18813</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6694</v>
      </c>
      <c r="AW59" s="289"/>
    </row>
    <row r="60" spans="2:49" x14ac:dyDescent="0.2">
      <c r="B60" s="245" t="s">
        <v>275</v>
      </c>
      <c r="C60" s="203"/>
      <c r="D60" s="234">
        <f t="shared" ref="D60:AC60" si="0">D$59/12</f>
        <v>1354.25</v>
      </c>
      <c r="E60" s="235">
        <f t="shared" si="0"/>
        <v>1363.75</v>
      </c>
      <c r="F60" s="235">
        <f t="shared" si="0"/>
        <v>0</v>
      </c>
      <c r="G60" s="235">
        <f t="shared" si="0"/>
        <v>0</v>
      </c>
      <c r="H60" s="235">
        <f t="shared" si="0"/>
        <v>0</v>
      </c>
      <c r="I60" s="234">
        <f t="shared" si="0"/>
        <v>1363.75</v>
      </c>
      <c r="J60" s="234">
        <f t="shared" si="0"/>
        <v>12238.666666666666</v>
      </c>
      <c r="K60" s="235">
        <f t="shared" si="0"/>
        <v>11963.833333333334</v>
      </c>
      <c r="L60" s="235">
        <f t="shared" si="0"/>
        <v>2441.6666666666665</v>
      </c>
      <c r="M60" s="235">
        <f t="shared" si="0"/>
        <v>0</v>
      </c>
      <c r="N60" s="235">
        <f t="shared" si="0"/>
        <v>0</v>
      </c>
      <c r="O60" s="234">
        <f t="shared" si="0"/>
        <v>0</v>
      </c>
      <c r="P60" s="234">
        <f t="shared" si="0"/>
        <v>9863.25</v>
      </c>
      <c r="Q60" s="235">
        <f t="shared" si="0"/>
        <v>10123.666666666666</v>
      </c>
      <c r="R60" s="235">
        <f t="shared" si="0"/>
        <v>1567.75</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557.83333333333337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626" yWindow="75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6" sqref="E56:E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5736632</v>
      </c>
      <c r="E5" s="326">
        <v>5082191</v>
      </c>
      <c r="F5" s="326"/>
      <c r="G5" s="328"/>
      <c r="H5" s="328"/>
      <c r="I5" s="325">
        <v>5082191</v>
      </c>
      <c r="J5" s="325">
        <v>35839274</v>
      </c>
      <c r="K5" s="326">
        <v>44719432.708904497</v>
      </c>
      <c r="L5" s="326">
        <v>9310824.6300000008</v>
      </c>
      <c r="M5" s="326"/>
      <c r="N5" s="326"/>
      <c r="O5" s="325"/>
      <c r="P5" s="325">
        <v>34663737</v>
      </c>
      <c r="Q5" s="326">
        <v>41193880.313656896</v>
      </c>
      <c r="R5" s="326">
        <v>5686803.6699999999</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-200564</v>
      </c>
      <c r="E9" s="362"/>
      <c r="F9" s="362"/>
      <c r="G9" s="362"/>
      <c r="H9" s="362"/>
      <c r="I9" s="364"/>
      <c r="J9" s="318">
        <v>78806</v>
      </c>
      <c r="K9" s="362"/>
      <c r="L9" s="362"/>
      <c r="M9" s="362"/>
      <c r="N9" s="362"/>
      <c r="O9" s="364"/>
      <c r="P9" s="318">
        <v>1462885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v>0</v>
      </c>
      <c r="M10" s="319"/>
      <c r="N10" s="319"/>
      <c r="O10" s="318"/>
      <c r="P10" s="365"/>
      <c r="Q10" s="319">
        <v>0</v>
      </c>
      <c r="R10" s="319">
        <v>0</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-1711784</v>
      </c>
      <c r="E11" s="319"/>
      <c r="F11" s="319"/>
      <c r="G11" s="319"/>
      <c r="H11" s="319"/>
      <c r="I11" s="318">
        <v>0</v>
      </c>
      <c r="J11" s="318">
        <v>3732</v>
      </c>
      <c r="K11" s="319"/>
      <c r="L11" s="319"/>
      <c r="M11" s="319"/>
      <c r="N11" s="319"/>
      <c r="O11" s="318"/>
      <c r="P11" s="318">
        <v>1723</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-1426225</v>
      </c>
      <c r="E12" s="363"/>
      <c r="F12" s="363"/>
      <c r="G12" s="363"/>
      <c r="H12" s="363"/>
      <c r="I12" s="365"/>
      <c r="J12" s="318">
        <v>14765</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676011</v>
      </c>
      <c r="F15" s="319"/>
      <c r="G15" s="319"/>
      <c r="H15" s="319"/>
      <c r="I15" s="318">
        <v>676011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261705</v>
      </c>
      <c r="F16" s="319"/>
      <c r="G16" s="319"/>
      <c r="H16" s="319"/>
      <c r="I16" s="318">
        <v>261705</v>
      </c>
      <c r="J16" s="318"/>
      <c r="K16" s="319">
        <v>-1948641.42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1294324</v>
      </c>
      <c r="F20" s="319"/>
      <c r="G20" s="319"/>
      <c r="H20" s="319"/>
      <c r="I20" s="318">
        <v>1294324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7272045</v>
      </c>
      <c r="E23" s="362"/>
      <c r="F23" s="362"/>
      <c r="G23" s="362"/>
      <c r="H23" s="362"/>
      <c r="I23" s="364"/>
      <c r="J23" s="318">
        <v>27297737</v>
      </c>
      <c r="K23" s="362"/>
      <c r="L23" s="362"/>
      <c r="M23" s="362"/>
      <c r="N23" s="362"/>
      <c r="O23" s="364"/>
      <c r="P23" s="318">
        <v>28053422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43939</v>
      </c>
      <c r="AU23" s="321">
        <v>0</v>
      </c>
      <c r="AV23" s="368"/>
      <c r="AW23" s="374"/>
    </row>
    <row r="24" spans="2:49" ht="28.5" customHeight="1" x14ac:dyDescent="0.2">
      <c r="B24" s="345" t="s">
        <v>114</v>
      </c>
      <c r="C24" s="331"/>
      <c r="D24" s="365"/>
      <c r="E24" s="319">
        <v>5751331</v>
      </c>
      <c r="F24" s="319"/>
      <c r="G24" s="319"/>
      <c r="H24" s="319"/>
      <c r="I24" s="318">
        <v>5751331</v>
      </c>
      <c r="J24" s="365"/>
      <c r="K24" s="319">
        <v>33916410.060000002</v>
      </c>
      <c r="L24" s="319">
        <v>6726350.6399999997</v>
      </c>
      <c r="M24" s="319"/>
      <c r="N24" s="319"/>
      <c r="O24" s="318"/>
      <c r="P24" s="365"/>
      <c r="Q24" s="319">
        <v>34707968.200000003</v>
      </c>
      <c r="R24" s="319">
        <v>4292949.28</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720404</v>
      </c>
      <c r="E26" s="362"/>
      <c r="F26" s="362"/>
      <c r="G26" s="362"/>
      <c r="H26" s="362"/>
      <c r="I26" s="364"/>
      <c r="J26" s="318">
        <v>2594385</v>
      </c>
      <c r="K26" s="362"/>
      <c r="L26" s="362"/>
      <c r="M26" s="362"/>
      <c r="N26" s="362"/>
      <c r="O26" s="364"/>
      <c r="P26" s="318">
        <v>3170338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92695</v>
      </c>
      <c r="F27" s="319"/>
      <c r="G27" s="319"/>
      <c r="H27" s="319"/>
      <c r="I27" s="318">
        <v>92695</v>
      </c>
      <c r="J27" s="365"/>
      <c r="K27" s="319">
        <v>438957.73825197906</v>
      </c>
      <c r="L27" s="319">
        <v>146567.2696</v>
      </c>
      <c r="M27" s="319"/>
      <c r="N27" s="319"/>
      <c r="O27" s="318"/>
      <c r="P27" s="365"/>
      <c r="Q27" s="319">
        <v>361903.74454132048</v>
      </c>
      <c r="R27" s="319">
        <v>107761.8342</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2753213</v>
      </c>
      <c r="E28" s="363"/>
      <c r="F28" s="363"/>
      <c r="G28" s="363"/>
      <c r="H28" s="363"/>
      <c r="I28" s="365"/>
      <c r="J28" s="318">
        <v>2322474</v>
      </c>
      <c r="K28" s="363"/>
      <c r="L28" s="363"/>
      <c r="M28" s="363"/>
      <c r="N28" s="363"/>
      <c r="O28" s="365"/>
      <c r="P28" s="318">
        <v>1995214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43939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61815</v>
      </c>
      <c r="K30" s="362"/>
      <c r="L30" s="362"/>
      <c r="M30" s="362"/>
      <c r="N30" s="362"/>
      <c r="O30" s="364"/>
      <c r="P30" s="318">
        <v>17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45294.16</v>
      </c>
      <c r="L31" s="319"/>
      <c r="M31" s="319"/>
      <c r="N31" s="319"/>
      <c r="O31" s="318"/>
      <c r="P31" s="365"/>
      <c r="Q31" s="319">
        <v>-180.39</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16521</v>
      </c>
      <c r="K32" s="363"/>
      <c r="L32" s="363"/>
      <c r="M32" s="363"/>
      <c r="N32" s="363"/>
      <c r="O32" s="365"/>
      <c r="P32" s="318">
        <v>198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-200564</v>
      </c>
      <c r="E38" s="362"/>
      <c r="F38" s="362"/>
      <c r="G38" s="362"/>
      <c r="H38" s="362"/>
      <c r="I38" s="364"/>
      <c r="J38" s="318">
        <v>78806</v>
      </c>
      <c r="K38" s="362"/>
      <c r="L38" s="362"/>
      <c r="M38" s="362"/>
      <c r="N38" s="362"/>
      <c r="O38" s="364"/>
      <c r="P38" s="318">
        <v>1462885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v>0</v>
      </c>
      <c r="M39" s="319"/>
      <c r="N39" s="319"/>
      <c r="O39" s="318"/>
      <c r="P39" s="365"/>
      <c r="Q39" s="319">
        <v>0</v>
      </c>
      <c r="R39" s="319">
        <v>0</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-1711784</v>
      </c>
      <c r="E41" s="362"/>
      <c r="F41" s="362"/>
      <c r="G41" s="362"/>
      <c r="H41" s="362"/>
      <c r="I41" s="364"/>
      <c r="J41" s="318">
        <v>3732</v>
      </c>
      <c r="K41" s="362"/>
      <c r="L41" s="362"/>
      <c r="M41" s="362"/>
      <c r="N41" s="362"/>
      <c r="O41" s="364"/>
      <c r="P41" s="318">
        <v>1723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-1426225</v>
      </c>
      <c r="E43" s="363"/>
      <c r="F43" s="363"/>
      <c r="G43" s="363"/>
      <c r="H43" s="363"/>
      <c r="I43" s="365"/>
      <c r="J43" s="318">
        <v>14765</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55901</v>
      </c>
      <c r="E49" s="319">
        <v>65697</v>
      </c>
      <c r="F49" s="319"/>
      <c r="G49" s="319"/>
      <c r="H49" s="319"/>
      <c r="I49" s="318">
        <v>65697</v>
      </c>
      <c r="J49" s="318">
        <v>589557</v>
      </c>
      <c r="K49" s="319">
        <v>1200357.4104669709</v>
      </c>
      <c r="L49" s="319"/>
      <c r="M49" s="319"/>
      <c r="N49" s="319"/>
      <c r="O49" s="318"/>
      <c r="P49" s="318">
        <v>25254</v>
      </c>
      <c r="Q49" s="319">
        <v>999022.45699302433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240492</v>
      </c>
      <c r="K50" s="363"/>
      <c r="L50" s="363"/>
      <c r="M50" s="363"/>
      <c r="N50" s="363"/>
      <c r="O50" s="365"/>
      <c r="P50" s="318">
        <v>61881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-22210.849940666994</v>
      </c>
      <c r="L53" s="319">
        <v>614167.30017474142</v>
      </c>
      <c r="M53" s="319"/>
      <c r="N53" s="319"/>
      <c r="O53" s="318"/>
      <c r="P53" s="318">
        <v>0</v>
      </c>
      <c r="Q53" s="319">
        <v>-44985.43956258973</v>
      </c>
      <c r="R53" s="319">
        <v>206369.28252192202</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4697212</v>
      </c>
      <c r="E54" s="323">
        <f>E24+E27+E31+E35-E36+E39+E42+E45+E46-E49+E51+E52+E53</f>
        <v>5778329</v>
      </c>
      <c r="F54" s="323">
        <f>F24+F27+F31+F35-F36+F39+F42+F45+F46-F49+F51+F52+F53</f>
        <v>0</v>
      </c>
      <c r="G54" s="323">
        <f>G24+G27+G31+G35-G36+G39+G42+G45+G46-G49+G51+G52+G53</f>
        <v>0</v>
      </c>
      <c r="H54" s="323">
        <f>H24+H27+H31+H35-H36+H39+H42+H45+H46-H49+H51+H52+H53</f>
        <v>0</v>
      </c>
      <c r="I54" s="322">
        <f>I24+I27+I31+I35-I36+I39+I42+I45+I46-I49+I51+I52+I53</f>
        <v>5778329</v>
      </c>
      <c r="J54" s="322">
        <f>J23+J26-J28+J30-J32+J34-J36+J38+J41-J43+J45+J46-J47-J49+J50+J51+J52+J53</f>
        <v>27333650</v>
      </c>
      <c r="K54" s="323">
        <f>K24+K27+K31+K35-K36+K39+K42+K45+K46-K49+K51+K52+K53</f>
        <v>33178093.697844338</v>
      </c>
      <c r="L54" s="323">
        <f>L24+L27+L31+L35-L36+L39+L42+L45+L46-L49+L51+L52+L53</f>
        <v>7487085.209774741</v>
      </c>
      <c r="M54" s="323">
        <f>M24+M27+M31+M35-M36+M39+M42+M45+M46-M49+M51+M52+M53</f>
        <v>0</v>
      </c>
      <c r="N54" s="323">
        <f>N24+N27+N31+N35-N36+N39+N42+N45+N46-N49+N51+N52+N53</f>
        <v>0</v>
      </c>
      <c r="O54" s="322">
        <f>O24+O27+O31+O35-O36+O39+O42+O45+O46-O49+O51+O52+O53</f>
        <v>0</v>
      </c>
      <c r="P54" s="322">
        <f>P23+P26-P28+P30-P32+P34-P36+P38+P41-P43+P45+P46-P47-P49+P50+P51+P52+P53</f>
        <v>30729600</v>
      </c>
      <c r="Q54" s="323">
        <f>Q24+Q27+Q31+Q35-Q36+Q39+Q42+Q45+Q46-Q49+Q51+Q52+Q53</f>
        <v>34025683.65798571</v>
      </c>
      <c r="R54" s="323">
        <f>R24+R27+R31+R35-R36+R39+R42+R45+R46-R49+R51+R52+R53</f>
        <v>4607080.3967219228</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8755.42</v>
      </c>
      <c r="E55" s="323">
        <f t="shared" si="0"/>
        <v>8755</v>
      </c>
      <c r="F55" s="323">
        <f t="shared" si="0"/>
        <v>0</v>
      </c>
      <c r="G55" s="323">
        <f t="shared" si="0"/>
        <v>0</v>
      </c>
      <c r="H55" s="323">
        <f t="shared" si="0"/>
        <v>0</v>
      </c>
      <c r="I55" s="322">
        <f t="shared" si="0"/>
        <v>8755</v>
      </c>
      <c r="J55" s="322">
        <f t="shared" si="0"/>
        <v>62937.14</v>
      </c>
      <c r="K55" s="323">
        <f t="shared" si="0"/>
        <v>77021.122715542006</v>
      </c>
      <c r="L55" s="323">
        <f t="shared" si="0"/>
        <v>15693.156912887904</v>
      </c>
      <c r="M55" s="323">
        <f t="shared" si="0"/>
        <v>0</v>
      </c>
      <c r="N55" s="323">
        <f t="shared" si="0"/>
        <v>0</v>
      </c>
      <c r="O55" s="322">
        <f t="shared" si="0"/>
        <v>0</v>
      </c>
      <c r="P55" s="322">
        <f t="shared" si="0"/>
        <v>57526</v>
      </c>
      <c r="Q55" s="323">
        <f t="shared" si="0"/>
        <v>60852.91</v>
      </c>
      <c r="R55" s="323">
        <f t="shared" si="0"/>
        <v>3326.47</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8755.42</v>
      </c>
      <c r="E56" s="319">
        <v>8755</v>
      </c>
      <c r="F56" s="319"/>
      <c r="G56" s="319"/>
      <c r="H56" s="319"/>
      <c r="I56" s="318">
        <v>8755</v>
      </c>
      <c r="J56" s="318">
        <v>62937.14</v>
      </c>
      <c r="K56" s="319">
        <v>77021.122715542006</v>
      </c>
      <c r="L56" s="319">
        <v>15693.156912887904</v>
      </c>
      <c r="M56" s="319"/>
      <c r="N56" s="319"/>
      <c r="O56" s="318"/>
      <c r="P56" s="318">
        <v>58328.58</v>
      </c>
      <c r="Q56" s="319">
        <v>70395.597284457996</v>
      </c>
      <c r="R56" s="319">
        <v>10457.843087112096</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28020</v>
      </c>
      <c r="E57" s="319">
        <v>28020</v>
      </c>
      <c r="F57" s="319"/>
      <c r="G57" s="319"/>
      <c r="H57" s="319"/>
      <c r="I57" s="318">
        <v>28020</v>
      </c>
      <c r="J57" s="318">
        <v>70434</v>
      </c>
      <c r="K57" s="319">
        <v>89925.61</v>
      </c>
      <c r="L57" s="319">
        <v>19491.45</v>
      </c>
      <c r="M57" s="319"/>
      <c r="N57" s="319"/>
      <c r="O57" s="318"/>
      <c r="P57" s="318">
        <v>57526</v>
      </c>
      <c r="Q57" s="319">
        <v>60852.91</v>
      </c>
      <c r="R57" s="319">
        <v>3326.47</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v>428373.31</v>
      </c>
      <c r="F58" s="354"/>
      <c r="G58" s="354"/>
      <c r="H58" s="354"/>
      <c r="I58" s="353">
        <v>635364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116" yWindow="92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14" activePane="bottomRight" state="frozen"/>
      <selection activeCell="B1" sqref="B1"/>
      <selection pane="topRight" activeCell="B1" sqref="B1"/>
      <selection pane="bottomLeft" activeCell="B1" sqref="B1"/>
      <selection pane="bottomRight" activeCell="G35" sqref="G35: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14288118.189999999</v>
      </c>
      <c r="E5" s="454"/>
      <c r="F5" s="454"/>
      <c r="G5" s="448"/>
      <c r="H5" s="402">
        <v>26817371.800000001</v>
      </c>
      <c r="I5" s="403">
        <v>31625048.66</v>
      </c>
      <c r="J5" s="454"/>
      <c r="K5" s="454"/>
      <c r="L5" s="448"/>
      <c r="M5" s="402">
        <v>15293186.960000001</v>
      </c>
      <c r="N5" s="403">
        <v>25292984.989999998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14200667.180500001</v>
      </c>
      <c r="E6" s="400">
        <f>SUM('Pt 1 Summary of Data'!E$12,'Pt 1 Summary of Data'!E$22)+SUM('Pt 1 Summary of Data'!G$12,'Pt 1 Summary of Data'!G$22)-SUM('Pt 1 Summary of Data'!H$12,'Pt 1 Summary of Data'!H$22)</f>
        <v>5787084</v>
      </c>
      <c r="F6" s="400">
        <f t="shared" ref="F6:F11" si="0">SUM(C6:E6)</f>
        <v>19987751.180500001</v>
      </c>
      <c r="G6" s="401">
        <f>SUM('Pt 1 Summary of Data'!I$12,'Pt 1 Summary of Data'!I$22)</f>
        <v>5787084</v>
      </c>
      <c r="H6" s="397">
        <v>26887013.386779532</v>
      </c>
      <c r="I6" s="398">
        <v>32400802.959748846</v>
      </c>
      <c r="J6" s="400">
        <f>SUM('Pt 1 Summary of Data'!K$12,'Pt 1 Summary of Data'!K$22)+SUM('Pt 1 Summary of Data'!M$12,'Pt 1 Summary of Data'!M$22)-SUM('Pt 1 Summary of Data'!N$12,'Pt 1 Summary of Data'!N$22)</f>
        <v>33255114.820559878</v>
      </c>
      <c r="K6" s="400">
        <f>SUM(H6:J6)</f>
        <v>92542931.167088255</v>
      </c>
      <c r="L6" s="401">
        <f>SUM('Pt 1 Summary of Data'!O$12,'Pt 1 Summary of Data'!O$22)</f>
        <v>0</v>
      </c>
      <c r="M6" s="397">
        <v>15322730.502778081</v>
      </c>
      <c r="N6" s="398">
        <v>25201158.159568544</v>
      </c>
      <c r="O6" s="400">
        <f>SUM('Pt 1 Summary of Data'!Q$12,'Pt 1 Summary of Data'!Q$22)+SUM('Pt 1 Summary of Data'!S$12,'Pt 1 Summary of Data'!S$22)-SUM('Pt 1 Summary of Data'!T$12,'Pt 1 Summary of Data'!T$22)</f>
        <v>34086536.567985706</v>
      </c>
      <c r="P6" s="400">
        <f>SUM(M6:O6)</f>
        <v>74610425.23033233</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56339.53</v>
      </c>
      <c r="E7" s="400">
        <f>SUM('Pt 1 Summary of Data'!E$37:E$41)+SUM('Pt 1 Summary of Data'!G$37:G$41)-SUM('Pt 1 Summary of Data'!H$37:H$41)+MAX(0,MIN('Pt 1 Summary of Data'!E$42+'Pt 1 Summary of Data'!G$42-'Pt 1 Summary of Data'!H$42,0.3%*('Pt 1 Summary of Data'!E$5+'Pt 1 Summary of Data'!G$5-'Pt 1 Summary of Data'!H$5-SUM(E$9:E$11))))</f>
        <v>41908</v>
      </c>
      <c r="F7" s="400">
        <f t="shared" si="0"/>
        <v>98247.53</v>
      </c>
      <c r="G7" s="401">
        <f>SUM('Pt 1 Summary of Data'!I$37:I$41)+MAX(0,MIN(VALUE('Pt 1 Summary of Data'!I$42),0.3%*('Pt 1 Summary of Data'!I$5-SUM(G$9:G$10))))</f>
        <v>41908</v>
      </c>
      <c r="H7" s="397">
        <v>866687.64</v>
      </c>
      <c r="I7" s="398">
        <v>973730.28</v>
      </c>
      <c r="J7" s="400">
        <f>SUM('Pt 1 Summary of Data'!K$37:K$41)+SUM('Pt 1 Summary of Data'!M$37:M$41)-SUM('Pt 1 Summary of Data'!N$37:N$41)+MAX(0,MIN('Pt 1 Summary of Data'!K$42+'Pt 1 Summary of Data'!M$42-'Pt 1 Summary of Data'!N$42,0.3%*('Pt 1 Summary of Data'!K$5+'Pt 1 Summary of Data'!M$5-'Pt 1 Summary of Data'!N$5-SUM(J$10:J$11))))</f>
        <v>807784.02312481264</v>
      </c>
      <c r="K7" s="400">
        <f>SUM(H7:J7)</f>
        <v>2648201.9431248126</v>
      </c>
      <c r="L7" s="401">
        <f>SUM('Pt 1 Summary of Data'!O$37:O$41)+MAX(0,MIN(VALUE('Pt 1 Summary of Data'!O$42),0.3%*('Pt 1 Summary of Data'!O$5-L$10)))</f>
        <v>0</v>
      </c>
      <c r="M7" s="397">
        <v>457829.04</v>
      </c>
      <c r="N7" s="398">
        <v>630962.24</v>
      </c>
      <c r="O7" s="400">
        <f>SUM('Pt 1 Summary of Data'!Q$37:Q$41)+SUM('Pt 1 Summary of Data'!S$37:S$41)-SUM('Pt 1 Summary of Data'!T$37:T$41)+MAX(0,MIN('Pt 1 Summary of Data'!Q$42+'Pt 1 Summary of Data'!S$42-'Pt 1 Summary of Data'!T$42,0.3%*('Pt 1 Summary of Data'!Q$5+'Pt 1 Summary of Data'!S$5-'Pt 1 Summary of Data'!T$5)))</f>
        <v>863261.36687518738</v>
      </c>
      <c r="P7" s="400">
        <f>SUM(M7:O7)</f>
        <v>1952052.6468751873</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892700.39</v>
      </c>
      <c r="E8" s="400">
        <f>'Pt 2 Premium and Claims'!E58+'Pt 2 Premium and Claims'!G58-'Pt 2 Premium and Claims'!H58</f>
        <v>428373.31</v>
      </c>
      <c r="F8" s="400">
        <f t="shared" si="0"/>
        <v>1321073.7</v>
      </c>
      <c r="G8" s="401">
        <f>'Pt 2 Premium and Claims'!I58</f>
        <v>635364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4117754.92</v>
      </c>
      <c r="E9" s="400">
        <f>'Pt 2 Premium and Claims'!E$15+'Pt 2 Premium and Claims'!G$15-'Pt 2 Premium and Claims'!H$15</f>
        <v>676011</v>
      </c>
      <c r="F9" s="400">
        <f t="shared" si="0"/>
        <v>4793765.92</v>
      </c>
      <c r="G9" s="401">
        <f>'Pt 2 Premium and Claims'!I$15</f>
        <v>676011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-351373.9</v>
      </c>
      <c r="E10" s="400">
        <f>'Pt 2 Premium and Claims'!E$16+'Pt 2 Premium and Claims'!G$16-'Pt 2 Premium and Claims'!H$16</f>
        <v>261705</v>
      </c>
      <c r="F10" s="400">
        <f t="shared" si="0"/>
        <v>-89668.900000000023</v>
      </c>
      <c r="G10" s="401">
        <f>'Pt 2 Premium and Claims'!I$16</f>
        <v>261705</v>
      </c>
      <c r="H10" s="443"/>
      <c r="I10" s="398">
        <v>-747782.09</v>
      </c>
      <c r="J10" s="400">
        <f>'Pt 2 Premium and Claims'!K$16+'Pt 2 Premium and Claims'!M$16-'Pt 2 Premium and Claims'!N$16</f>
        <v>-1948641.42</v>
      </c>
      <c r="K10" s="400">
        <f>SUM(H10:J10)</f>
        <v>-2696423.51</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224864.97169999999</v>
      </c>
      <c r="E11" s="400">
        <f>'Pt 2 Premium and Claims'!E$17+'Pt 2 Premium and Claims'!G$17-'Pt 2 Premium and Claims'!H$17</f>
        <v>0</v>
      </c>
      <c r="F11" s="400">
        <f t="shared" si="0"/>
        <v>224864.97169999999</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9373060.3288000003</v>
      </c>
      <c r="E12" s="400">
        <f>SUM(E$6:E$7)-SUM(E$8:E$11)+IF(AND(OR('Company Information'!$C$12="District of Columbia",'Company Information'!$C$12="Massachusetts",'Company Information'!$C$12="Vermont"),SUM($C$6:$F$11,$C$15:$F$16,$C$38:$D$38)&lt;&gt;0),SUM(J$6:J$7)-SUM(J$10:J$11),0)</f>
        <v>4462902.6899999995</v>
      </c>
      <c r="F12" s="400">
        <f>IFERROR(SUM(C$12:E$12)+C$17*MAX(0,E$50-C$50)+D$17*MAX(0,E$50-D$50),0)</f>
        <v>13835963.0188</v>
      </c>
      <c r="G12" s="447"/>
      <c r="H12" s="399">
        <f>SUM(H$6:H$7)+IF(AND(OR('Company Information'!$C$12="District of Columbia",'Company Information'!$C$12="Massachusetts",'Company Information'!$C$12="Vermont"),SUM($H$6:$K$11,$H$15:$K$16,$H$38:$I$38)&lt;&gt;0),SUM(C$6:C$7),0)</f>
        <v>27753701.026779532</v>
      </c>
      <c r="I12" s="400">
        <f>SUM(I$6:I$7) - SUM(I$10:I$11)+IF(AND(OR('Company Information'!$C$12="District of Columbia",'Company Information'!$C$12="Massachusetts",'Company Information'!$C$12="Vermont"),SUM($H$6:$K$11,$H$15:$K$16,$H$38:$I$38)&lt;&gt;0),SUM(D$6:D$7) - SUM(D$8:D$11),0)</f>
        <v>34122315.329748847</v>
      </c>
      <c r="J12" s="400">
        <f>SUM(J$6:J$7)-SUM(J$10:J$11)+IF(AND(OR('Company Information'!$C$12="District of Columbia",'Company Information'!$C$12="Massachusetts",'Company Information'!$C$12="Vermont"),SUM($H$6:$K$11,$H$15:$K$16,$H$38:$I$38)&lt;&gt;0),SUM(E$6:E$7)-SUM(E$8:E$11),0)</f>
        <v>36011540.26368469</v>
      </c>
      <c r="K12" s="400">
        <f>IFERROR(SUM(H$12:J$12)+H$17*MAX(0,J$50-H$50)+I$17*MAX(0,J$50-I$50),0)</f>
        <v>97887556.620213062</v>
      </c>
      <c r="L12" s="447"/>
      <c r="M12" s="399">
        <f>SUM(M$6:M$7)</f>
        <v>15780559.54277808</v>
      </c>
      <c r="N12" s="400">
        <f>SUM(N$6:N$7)</f>
        <v>25832120.399568543</v>
      </c>
      <c r="O12" s="400">
        <f>SUM(O$6:O$7)</f>
        <v>34949797.934860893</v>
      </c>
      <c r="P12" s="400">
        <f>SUM(M$12:O$12)+M$17*MAX(0,O$50-M$50)+N$17*MAX(0,O$50-N$50)</f>
        <v>76562477.877207518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8637428.75</v>
      </c>
      <c r="E15" s="395">
        <f>SUM('Pt 1 Summary of Data'!E$5:E$7)+SUM('Pt 1 Summary of Data'!G$5:G$7)-SUM('Pt 1 Summary of Data'!H$5:H$7)-SUM(E$9:E$11)</f>
        <v>5082191</v>
      </c>
      <c r="F15" s="395">
        <f>SUM(C15:E15)</f>
        <v>13719619.75</v>
      </c>
      <c r="G15" s="396">
        <f>SUM('Pt 1 Summary of Data'!I$5:I$7)-SUM(G$9:G$10)</f>
        <v>5082191</v>
      </c>
      <c r="H15" s="402">
        <v>36866549.539999999</v>
      </c>
      <c r="I15" s="403">
        <v>41154553.109999999</v>
      </c>
      <c r="J15" s="395">
        <f>SUM('Pt 1 Summary of Data'!K$5:K$7)+SUM('Pt 1 Summary of Data'!M$5:M$7)-SUM('Pt 1 Summary of Data'!N$5:N$7)-SUM(J$10:J$11)</f>
        <v>44719291.578904495</v>
      </c>
      <c r="K15" s="395">
        <f>SUM(H15:J15)</f>
        <v>122740394.2289045</v>
      </c>
      <c r="L15" s="396">
        <f>SUM('Pt 1 Summary of Data'!O$5:O$7)-L$10</f>
        <v>0</v>
      </c>
      <c r="M15" s="402">
        <v>19402943.57</v>
      </c>
      <c r="N15" s="403">
        <v>32900525.57</v>
      </c>
      <c r="O15" s="395">
        <f>SUM('Pt 1 Summary of Data'!Q$5:Q$7)+SUM('Pt 1 Summary of Data'!S$5:S$7)-SUM('Pt 1 Summary of Data'!T$5:T$7)+N$56</f>
        <v>41193651.023656897</v>
      </c>
      <c r="P15" s="395">
        <f>SUM(M15:O15)</f>
        <v>93497120.16365689</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28432.1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462703.44000003673</v>
      </c>
      <c r="F16" s="400">
        <f>SUM(C16:E16)</f>
        <v>491135.54000003671</v>
      </c>
      <c r="G16" s="401">
        <f>SUM('Pt 1 Summary of Data'!I$25:I$28,'Pt 1 Summary of Data'!I$30,'Pt 1 Summary of Data'!I$34:I$35)+IF('Company Information'!$C$15="No",IF(MAX('Pt 1 Summary of Data'!I$31:I$32)=0,MIN('Pt 1 Summary of Data'!I$31:I$32),MAX('Pt 1 Summary of Data'!I$31:I$32)),SUM('Pt 1 Summary of Data'!I$31:I$32))</f>
        <v>284197</v>
      </c>
      <c r="H16" s="397">
        <v>1181932.23</v>
      </c>
      <c r="I16" s="398">
        <v>1750742.73</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1745413.0351807647</v>
      </c>
      <c r="K16" s="400">
        <f>SUM(H16:J16)</f>
        <v>4678087.9951807652</v>
      </c>
      <c r="L16" s="401">
        <f>SUM('Pt 1 Summary of Data'!O$25:O$28,'Pt 1 Summary of Data'!O$30,'Pt 1 Summary of Data'!O$34:O$35)+IF('Company Information'!$C$15="No",IF(MAX('Pt 1 Summary of Data'!O$31:O$32)=0,MIN('Pt 1 Summary of Data'!O$31:O$32),MAX('Pt 1 Summary of Data'!O$31:O$32)),SUM('Pt 1 Summary of Data'!O$31:O$32))</f>
        <v>0</v>
      </c>
      <c r="M16" s="397">
        <v>342901.1</v>
      </c>
      <c r="N16" s="398">
        <v>392028.36</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1610496.4552932649</v>
      </c>
      <c r="P16" s="400">
        <f>SUM(M16:O16)</f>
        <v>2345425.9152932651</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8608996.6500000004</v>
      </c>
      <c r="E17" s="400">
        <f>E$15-E$16+IF(AND(OR('Company Information'!$C$12="District of Columbia",'Company Information'!$C$12="Massachusetts",'Company Information'!$C$12="Vermont"),SUM($C$6:$F$11,$C$15:$F$16,$C$38:$D$38)&lt;&gt;0),J$15-J$16,0)</f>
        <v>4619487.5599999633</v>
      </c>
      <c r="F17" s="400">
        <f>F$15-F$16+IF(AND(OR('Company Information'!$C$12="District of Columbia",'Company Information'!$C$12="Massachusetts",'Company Information'!$C$12="Vermont"),SUM($C$6:$F$11,$C$15:$F$16,$C$38:$D$38)&lt;&gt;0),K$15-K$16,0)</f>
        <v>13228484.209999964</v>
      </c>
      <c r="G17" s="450"/>
      <c r="H17" s="399">
        <f>H$15-H$16+IF(AND(OR('Company Information'!$C$12="District of Columbia",'Company Information'!$C$12="Massachusetts",'Company Information'!$C$12="Vermont"),SUM($H$6:$K$11,$H$15:$K$16,$H$38:$I$38)&lt;&gt;0),C$15-C$16,0)</f>
        <v>35684617.310000002</v>
      </c>
      <c r="I17" s="400">
        <f>I$15-I$16+IF(AND(OR('Company Information'!$C$12="District of Columbia",'Company Information'!$C$12="Massachusetts",'Company Information'!$C$12="Vermont"),SUM($H$6:$K$11,$H$15:$K$16,$H$38:$I$38)&lt;&gt;0),D$15-D$16,0)</f>
        <v>39403810.380000003</v>
      </c>
      <c r="J17" s="400">
        <f>J$15-J$16+IF(AND(OR('Company Information'!$C$12="District of Columbia",'Company Information'!$C$12="Massachusetts",'Company Information'!$C$12="Vermont"),SUM($H$6:$K$11,$H$15:$K$16,$H$38:$I$38)&lt;&gt;0),E$15-E$16,0)</f>
        <v>42973878.543723732</v>
      </c>
      <c r="K17" s="400">
        <f>K$15-K$16+IF(AND(OR('Company Information'!$C$12="District of Columbia",'Company Information'!$C$12="Massachusetts",'Company Information'!$C$12="Vermont"),SUM($H$6:$K$11,$H$15:$K$16,$H$38:$I$38)&lt;&gt;0),F$15-F$16,0)</f>
        <v>118062306.23372373</v>
      </c>
      <c r="L17" s="450"/>
      <c r="M17" s="399">
        <f>M$15-M$16</f>
        <v>19060042.469999999</v>
      </c>
      <c r="N17" s="400">
        <f>N$15-N$16</f>
        <v>32508497.210000001</v>
      </c>
      <c r="O17" s="400">
        <f>O$15-O$16</f>
        <v>39583154.568363629</v>
      </c>
      <c r="P17" s="400">
        <f>P$15-P$16</f>
        <v>91151694.248363629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4187451</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806629</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239899.7</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-196086</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239899.7</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143939.82</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1330725.7</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1330725.7</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1339755.68</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3751465.3</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1234765.82</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143939.82</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1234765.82</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1243795.8</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3847425.1799999997</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1.088377500300084</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121971.0739799997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121971.0739799997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2684</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1363.75</v>
      </c>
      <c r="F38" s="432">
        <f>SUM(C$38:E$38)+IF(AND(OR('Company Information'!$C$12="District of Columbia",'Company Information'!$C$12="Massachusetts",'Company Information'!$C$12="Vermont"),SUM($C$6:$F$11,$C$15:$F$16,$C$38:$D$38)&lt;&gt;0,SUM(C$38:D$38)&lt;&gt;SUM(H$38:I$38)),SUM(H$38:I$38),0)</f>
        <v>4047.75</v>
      </c>
      <c r="G38" s="448"/>
      <c r="H38" s="404">
        <v>10097</v>
      </c>
      <c r="I38" s="405">
        <v>11494.42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11963.833333333334</v>
      </c>
      <c r="K38" s="432">
        <f>SUM(H$38:J$38)+IF(AND(OR('Company Information'!$C$12="District of Columbia",'Company Information'!$C$12="Massachusetts",'Company Information'!$C$12="Vermont"),SUM($H$6:$K$11,$H$15:$K$16,$H$38:$I$38)&lt;&gt;0,SUM(H$38:I$38)&lt;&gt;SUM(C$38:D$38)),SUM(C$38:D$38),0)</f>
        <v>33555.253333333334</v>
      </c>
      <c r="L38" s="448"/>
      <c r="M38" s="404">
        <v>5264</v>
      </c>
      <c r="N38" s="405">
        <v>8160.08</v>
      </c>
      <c r="O38" s="432">
        <f>('Pt 1 Summary of Data'!Q$59+'Pt 1 Summary of Data'!S$59-'Pt 1 Summary of Data'!T$59)/12</f>
        <v>10123.666666666666</v>
      </c>
      <c r="P38" s="432">
        <f>SUM(M$38:O$38)</f>
        <v>23547.746666666666</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4.2713500000000001E-2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1.4631159466666667E-2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1.6968168888888892E-2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4600</v>
      </c>
      <c r="G40" s="447"/>
      <c r="H40" s="443"/>
      <c r="I40" s="441"/>
      <c r="J40" s="441"/>
      <c r="K40" s="398">
        <v>2576</v>
      </c>
      <c r="L40" s="447"/>
      <c r="M40" s="443"/>
      <c r="N40" s="441"/>
      <c r="O40" s="441"/>
      <c r="P40" s="398">
        <v>2170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1.3639199999999998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1.1712351999999999</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5.8257796919999993E-2</v>
      </c>
      <c r="G42" s="447"/>
      <c r="H42" s="443"/>
      <c r="I42" s="441"/>
      <c r="J42" s="441"/>
      <c r="K42" s="436">
        <f ca="1">IF(OR(K$38&lt;1000,K$38&gt;=75000),0,K$39*K$41)</f>
        <v>1.7136528984173227E-2</v>
      </c>
      <c r="L42" s="447"/>
      <c r="M42" s="443"/>
      <c r="N42" s="441"/>
      <c r="O42" s="441"/>
      <c r="P42" s="436">
        <f ca="1">IF(OR(P$38&lt;1000,P$38&gt;=75000),0,P$39*P$41)</f>
        <v>1.6968168888888892E-2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1.0887517686279968</v>
      </c>
      <c r="E45" s="436">
        <f>IF(OR(E$38&lt;1000,E$17&lt;=0),"",E$12/E$17)</f>
        <v>0.96610341126235977</v>
      </c>
      <c r="F45" s="436">
        <f>IF(OR(F$38&lt;1000,F$17&lt;=0),"",F$12/F$17)</f>
        <v>1.0459220269802958</v>
      </c>
      <c r="G45" s="447"/>
      <c r="H45" s="438">
        <f>IF(OR(H$38&lt;1000,H$17&lt;=0),"",H$12/H$17)</f>
        <v>0.77774971735515941</v>
      </c>
      <c r="I45" s="436">
        <f>IF(OR(I$38&lt;1000,I$17&lt;=0),"",I$12/I$17)</f>
        <v>0.86596486483622259</v>
      </c>
      <c r="J45" s="436">
        <f>IF(OR(J$38&lt;1000,J$17&lt;=0),"",J$12/J$17)</f>
        <v>0.83798673715347294</v>
      </c>
      <c r="K45" s="436">
        <f>IF(OR(K$38&lt;1000,K$17&lt;=0),"",K$12/K$17)</f>
        <v>0.82911777469795112</v>
      </c>
      <c r="L45" s="447"/>
      <c r="M45" s="438">
        <f>IF(OR(M$38&lt;1000,M$17&lt;=0),"",M$12/M$17)</f>
        <v>0.82793936937004531</v>
      </c>
      <c r="N45" s="436">
        <f>IF(OR(N$38&lt;1000,N$17&lt;=0),"",N$12/N$17)</f>
        <v>0.79462671659956874</v>
      </c>
      <c r="O45" s="436">
        <f>IF(OR(O$38&lt;1000,O$17&lt;=0),"",O$12/O$17)</f>
        <v>0.88294625115083947</v>
      </c>
      <c r="P45" s="436">
        <f>IF(OR(P$38&lt;1000,P$17&lt;=0),"",P$12/P$17)</f>
        <v>0.83994574657707999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5.8257796919999993E-2</v>
      </c>
      <c r="G47" s="447"/>
      <c r="H47" s="443"/>
      <c r="I47" s="441"/>
      <c r="J47" s="441"/>
      <c r="K47" s="436">
        <f ca="1">IF(K$45="","",K$42)</f>
        <v>1.7136528984173227E-2</v>
      </c>
      <c r="L47" s="447"/>
      <c r="M47" s="443"/>
      <c r="N47" s="441"/>
      <c r="O47" s="441"/>
      <c r="P47" s="436">
        <f ca="1">IF(P$45="","",P$42)</f>
        <v>1.6968168888888892E-2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1.1040000000000001</v>
      </c>
      <c r="G48" s="447"/>
      <c r="H48" s="443"/>
      <c r="I48" s="441"/>
      <c r="J48" s="441"/>
      <c r="K48" s="436">
        <f ca="1">IF(K$45="","",ROUND(K$45+MAX(0,K$47),3))</f>
        <v>0.84599999999999997</v>
      </c>
      <c r="L48" s="447"/>
      <c r="M48" s="443"/>
      <c r="N48" s="441"/>
      <c r="O48" s="441"/>
      <c r="P48" s="436">
        <f ca="1">IF(P$45="","",ROUND(P$45+MAX(0,P$47),3))</f>
        <v>0.85699999999999998</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1.1040000000000001</v>
      </c>
      <c r="G51" s="447"/>
      <c r="H51" s="444"/>
      <c r="I51" s="442"/>
      <c r="J51" s="442"/>
      <c r="K51" s="436">
        <f ca="1">K$48</f>
        <v>0.84599999999999997</v>
      </c>
      <c r="L51" s="447"/>
      <c r="M51" s="444"/>
      <c r="N51" s="442"/>
      <c r="O51" s="442"/>
      <c r="P51" s="436">
        <f ca="1">P$48</f>
        <v>0.85699999999999998</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4619487.5599999633</v>
      </c>
      <c r="G52" s="447"/>
      <c r="H52" s="443"/>
      <c r="I52" s="441"/>
      <c r="J52" s="441"/>
      <c r="K52" s="400">
        <f>IF(K$38&lt;1000,"",MAX(0,J$15-J$16))</f>
        <v>42973878.543723732</v>
      </c>
      <c r="L52" s="447"/>
      <c r="M52" s="443"/>
      <c r="N52" s="441"/>
      <c r="O52" s="441"/>
      <c r="P52" s="400">
        <f>IF(P$38&lt;1000,"",MAX(0,O$15-O$16))</f>
        <v>39583154.568363629</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-68461</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14288118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14219657</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42" yWindow="577"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742</v>
      </c>
      <c r="D4" s="104">
        <f>'Pt 1 Summary of Data'!$K$56+'Pt 1 Summary of Data'!$M$56-'Pt 1 Summary of Data'!$N$56</f>
        <v>7395</v>
      </c>
      <c r="E4" s="104">
        <f>'Pt 1 Summary of Data'!$Q$56+'Pt 1 Summary of Data'!$S$56-'Pt 1 Summary of Data'!$T$56</f>
        <v>5787</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78807.62</v>
      </c>
      <c r="E16" s="99">
        <v>1462882.37</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v>4193.67</v>
      </c>
      <c r="E22" s="127">
        <v>16618.09</v>
      </c>
      <c r="F22" s="127"/>
      <c r="G22" s="127"/>
      <c r="H22" s="127"/>
      <c r="I22" s="181"/>
      <c r="J22" s="181"/>
      <c r="K22" s="200"/>
    </row>
    <row r="23" spans="2:12" s="5" customFormat="1" ht="100.15" customHeight="1" x14ac:dyDescent="0.2">
      <c r="B23" s="91" t="s">
        <v>212</v>
      </c>
      <c r="C23" s="483" t="s">
        <v>510</v>
      </c>
      <c r="D23" s="484"/>
      <c r="E23" s="484"/>
      <c r="F23" s="484"/>
      <c r="G23" s="484"/>
      <c r="H23" s="484"/>
      <c r="I23" s="484"/>
      <c r="J23" s="484"/>
      <c r="K23" s="485"/>
    </row>
    <row r="24" spans="2:12" s="5" customFormat="1" ht="100.15" customHeight="1" x14ac:dyDescent="0.2">
      <c r="B24" s="90" t="s">
        <v>213</v>
      </c>
      <c r="C24" s="486" t="s">
        <v>511</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3" zoomScale="80" zoomScaleNormal="80" workbookViewId="0">
      <selection activeCell="B36" sqref="B3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2016-07-28T19:08:04Z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