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R13" i="10" s="1"/>
  <c r="P16" i="10"/>
  <c r="O16" i="10"/>
  <c r="L16" i="10"/>
  <c r="K16" i="10"/>
  <c r="J16" i="10"/>
  <c r="G16" i="10"/>
  <c r="F16" i="10"/>
  <c r="E16" i="10"/>
  <c r="AB15" i="10"/>
  <c r="AA15" i="10"/>
  <c r="X15" i="10"/>
  <c r="W15" i="10"/>
  <c r="T15" i="10"/>
  <c r="S15" i="10"/>
  <c r="P15" i="10"/>
  <c r="O15" i="10"/>
  <c r="L15" i="10"/>
  <c r="AA13" i="10"/>
  <c r="Z13" i="10"/>
  <c r="Y13" i="10"/>
  <c r="W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X55" i="18"/>
  <c r="X22" i="4" s="1"/>
  <c r="W55" i="18"/>
  <c r="W22" i="4" s="1"/>
  <c r="V55" i="18"/>
  <c r="V22" i="4" s="1"/>
  <c r="U55" i="18"/>
  <c r="U22" i="4" s="1"/>
  <c r="T55" i="18"/>
  <c r="T22" i="4" s="1"/>
  <c r="S55" i="18"/>
  <c r="R55" i="18"/>
  <c r="R22" i="4" s="1"/>
  <c r="Q55" i="18"/>
  <c r="P55" i="18"/>
  <c r="P22" i="4" s="1"/>
  <c r="O55" i="18"/>
  <c r="N55" i="18"/>
  <c r="M55" i="18"/>
  <c r="L55" i="18"/>
  <c r="K55" i="18"/>
  <c r="J55" i="18"/>
  <c r="J22" i="4" s="1"/>
  <c r="I55" i="18"/>
  <c r="I22" i="4" s="1"/>
  <c r="H55" i="18"/>
  <c r="H22" i="4" s="1"/>
  <c r="G55" i="18"/>
  <c r="G22" i="4" s="1"/>
  <c r="F55" i="18"/>
  <c r="E55" i="18"/>
  <c r="D55" i="18"/>
  <c r="AU54" i="18"/>
  <c r="AT54" i="18"/>
  <c r="AS54" i="18"/>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Y22" i="4"/>
  <c r="S22" i="4"/>
  <c r="Q22" i="4"/>
  <c r="O22" i="4"/>
  <c r="N22" i="4"/>
  <c r="M22" i="4"/>
  <c r="L22" i="4"/>
  <c r="K22" i="4"/>
  <c r="F22" i="4"/>
  <c r="E22" i="4"/>
  <c r="D22" i="4"/>
  <c r="AU12" i="4"/>
  <c r="AT12" i="4"/>
  <c r="AS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7" i="10" s="1"/>
  <c r="D5" i="4"/>
  <c r="L30" i="10" l="1"/>
  <c r="L31" i="10" s="1"/>
  <c r="E15" i="10"/>
  <c r="J15" i="10"/>
  <c r="G7" i="10"/>
  <c r="G27" i="10" s="1"/>
  <c r="F15" i="10"/>
  <c r="K15" i="10"/>
  <c r="F7" i="10"/>
  <c r="E38" i="10" s="1"/>
  <c r="J7" i="10"/>
  <c r="G20" i="10"/>
  <c r="G24" i="10"/>
  <c r="G32" i="10"/>
  <c r="G23" i="10"/>
  <c r="L29" i="10"/>
  <c r="L33" i="10" s="1"/>
  <c r="L34" i="10" s="1"/>
  <c r="AB39" i="10"/>
  <c r="X39" i="10"/>
  <c r="P39" i="10"/>
  <c r="P42" i="10" s="1"/>
  <c r="P47" i="10" s="1"/>
  <c r="P48" i="10" s="1"/>
  <c r="P51" i="10" s="1"/>
  <c r="P53" i="10" s="1"/>
  <c r="E11" i="16" s="1"/>
  <c r="L21" i="10"/>
  <c r="L26" i="10" s="1"/>
  <c r="L25" i="10" s="1"/>
  <c r="L28" i="10" s="1"/>
  <c r="AB13" i="10"/>
  <c r="X13" i="10"/>
  <c r="T13" i="10"/>
  <c r="U13" i="10"/>
  <c r="Q13" i="10"/>
  <c r="S13" i="10"/>
  <c r="D17" i="10" l="1"/>
  <c r="E12" i="10"/>
  <c r="D12" i="10"/>
  <c r="C17" i="10"/>
  <c r="E17" i="10"/>
  <c r="C12" i="10"/>
  <c r="F12" i="10" s="1"/>
  <c r="G19" i="10"/>
  <c r="G22" i="10" s="1"/>
  <c r="K7" i="10"/>
  <c r="J38" i="10" s="1"/>
  <c r="C45" i="10"/>
  <c r="J12" i="10"/>
  <c r="G30" i="10"/>
  <c r="G31" i="10" s="1"/>
  <c r="G29" i="10" s="1"/>
  <c r="G33" i="10" s="1"/>
  <c r="G34" i="10" s="1"/>
  <c r="D45" i="10"/>
  <c r="F17" i="10"/>
  <c r="K17" i="10"/>
  <c r="E45" i="10"/>
  <c r="F38" i="10"/>
  <c r="G21" i="10"/>
  <c r="G26" i="10" s="1"/>
  <c r="G25" i="10" s="1"/>
  <c r="G28" i="10" s="1"/>
  <c r="F45" i="10" l="1"/>
  <c r="I17" i="10"/>
  <c r="H17" i="10"/>
  <c r="K38" i="10"/>
  <c r="F52" i="10"/>
  <c r="F39" i="10"/>
  <c r="F42" i="10" s="1"/>
  <c r="F47" i="10" s="1"/>
  <c r="F48" i="10" s="1"/>
  <c r="F51" i="10" s="1"/>
  <c r="F53" i="10" s="1"/>
  <c r="C11" i="16" s="1"/>
  <c r="J17" i="10"/>
  <c r="J45" i="10" s="1"/>
  <c r="I12" i="10"/>
  <c r="I45" i="10" s="1"/>
  <c r="H12" i="10"/>
  <c r="H45" i="10" l="1"/>
  <c r="K39" i="10" s="1"/>
  <c r="K42" i="10" s="1"/>
  <c r="K52" i="10"/>
  <c r="K12" i="10"/>
  <c r="K45" i="10" s="1"/>
  <c r="K47" i="10" l="1"/>
  <c r="K48" i="10" s="1"/>
  <c r="K51" i="10" s="1"/>
  <c r="K53" i="10" s="1"/>
  <c r="D11" i="16"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<sst xmlns="http://schemas.openxmlformats.org/spreadsheetml/2006/main" count="572" uniqueCount="510">
  <si>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</si>
  <si>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</si>
  <si>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</si>
  <si>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</si>
  <si>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</si>
  <si>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</si>
  <si>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</si>
  <si>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</si>
  <si>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</si>
  <si>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</si>
  <si>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</si>
  <si>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</si>
  <si>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</si>
  <si>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</si>
  <si>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</si>
  <si>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</si>
  <si>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</si>
  <si>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</si>
  <si>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</si>
  <si>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</si>
  <si>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</si>
  <si>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</si>
  <si>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</si>
  <si>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</si>
  <si>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</si>
  <si>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</si>
  <si>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</si>
  <si>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</si>
  <si>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</si>
  <si>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</si>
  <si>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</si>
  <si>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</si>
  <si>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</si>
  <si>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</si>
  <si>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</si>
  <si>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</si>
  <si>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</si>
  <si>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</si>
  <si>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</si>
  <si>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</si>
  <si>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</si>
  <si>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</si>
  <si>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</si>
  <si>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</si>
  <si>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</si>
  <si>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</si>
  <si>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</si>
  <si>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</si>
  <si>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</si>
  <si>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</si>
  <si>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</si>
  <si>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</si>
  <si>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</si>
  <si>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</si>
  <si>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</si>
  <si>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</si>
  <si>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</si>
  <si>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</si>
  <si>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</si>
  <si>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</si>
  <si>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</si>
  <si>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</si>
  <si>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</si>
  <si>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</si>
  <si>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</si>
  <si>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</si>
  <si>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</si>
  <si>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</si>
  <si>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</si>
  <si>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</si>
  <si>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</si>
  <si>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</si>
  <si>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</si>
  <si>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</si>
  <si>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</si>
  <si>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</si>
  <si>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</si>
  <si>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</si>
  <si>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</si>
  <si>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</si>
  <si>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</si>
  <si>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</si>
  <si>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</si>
  <si>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</si>
  <si>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</si>
  <si>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</si>
  <si>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</si>
  <si>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</si>
  <si>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</si>
  <si>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</si>
  <si>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</si>
  <si>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</si>
  <si>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</si>
  <si>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</si>
  <si>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</si>
  <si>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</si>
  <si>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</si>
  <si>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</si>
  <si>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</si>
  <si>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</si>
  <si>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</si>
  <si>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</si>
  <si>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</si>
  <si>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</si>
  <si>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</si>
  <si>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</si>
  <si>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</si>
  <si>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</si>
  <si>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</si>
  <si>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</si>
  <si>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</si>
  <si>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</si>
  <si>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</si>
  <si>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</si>
  <si>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</si>
  <si>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</si>
  <si>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</si>
  <si>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</si>
  <si>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</si>
  <si>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</si>
  <si>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</si>
  <si>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</si>
  <si>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</si>
  <si>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</si>
  <si>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</si>
  <si>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</si>
  <si>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</si>
  <si>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</si>
  <si>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</si>
  <si>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</si>
  <si>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</si>
  <si>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</si>
  <si>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</si>
  <si>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</si>
  <si>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</si>
  <si>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</si>
  <si>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</si>
  <si>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</si>
  <si>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</si>
  <si>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</si>
  <si>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</si>
  <si>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</si>
  <si>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</si>
  <si>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</si>
  <si>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</si>
  <si>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</si>
  <si>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</si>
  <si>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</si>
  <si>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</si>
  <si>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</si>
  <si>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</si>
  <si>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</si>
  <si>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</si>
  <si>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</si>
  <si>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</si>
  <si>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</si>
  <si>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</si>
  <si>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</si>
  <si>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</si>
  <si>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</si>
  <si>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</si>
  <si>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</si>
  <si>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</si>
  <si>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</si>
  <si>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</si>
  <si>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</si>
  <si>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</si>
  <si>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</si>
  <si>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</si>
  <si>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</si>
  <si>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</si>
  <si>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</si>
  <si>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</si>
  <si>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</si>
  <si>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</si>
  <si>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</si>
  <si>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</si>
  <si>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</si>
  <si>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</si>
  <si>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</si>
  <si>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</si>
  <si>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</si>
  <si>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</si>
  <si>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</si>
  <si>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</si>
  <si>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</si>
  <si>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</si>
  <si>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</si>
  <si>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</si>
  <si>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</si>
  <si>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</si>
  <si>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</si>
  <si>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</si>
  <si>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</si>
  <si>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</si>
  <si>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</si>
  <si>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</si>
  <si>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</si>
  <si>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</si>
  <si>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</si>
  <si>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</si>
  <si>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</si>
  <si>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</si>
  <si>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</si>
  <si>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</si>
  <si>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</si>
  <si>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</si>
  <si>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</si>
  <si>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</si>
  <si>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</si>
  <si>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</si>
  <si>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</si>
  <si>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</si>
  <si>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</si>
  <si>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</si>
  <si>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</si>
  <si>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</si>
  <si>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</si>
  <si>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</si>
  <si>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</si>
  <si>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</si>
  <si>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</si>
  <si>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</si>
  <si>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</si>
  <si>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</si>
  <si>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</si>
  <si>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</si>
  <si>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</si>
  <si>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</si>
  <si>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</si>
  <si>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</si>
  <si>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</si>
  <si>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</si>
  <si>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</si>
  <si>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</si>
  <si>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</si>
  <si>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</si>
  <si>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</si>
  <si>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</si>
  <si>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</si>
  <si>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</si>
  <si>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</si>
  <si>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</si>
  <si>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</si>
  <si>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</si>
  <si>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</si>
  <si>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</si>
  <si>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</si>
  <si>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</si>
  <si>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</si>
  <si>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</si>
  <si>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</si>
  <si>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</si>
  <si>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</si>
  <si>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</si>
  <si>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</si>
  <si>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</si>
  <si>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</si>
  <si>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</si>
  <si>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</si>
  <si>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</si>
  <si>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</si>
  <si>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</si>
  <si>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</si>
  <si>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</si>
  <si>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</si>
  <si>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</si>
  <si>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</si>
  <si>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</si>
  <si>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</si>
  <si>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</si>
  <si>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</si>
  <si>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</si>
  <si>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</si>
  <si>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</si>
  <si>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</si>
  <si>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</si>
  <si>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</si>
  <si>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</si>
  <si>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</si>
  <si>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</si>
  <si>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</si>
  <si>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</si>
  <si>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</si>
  <si>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</si>
  <si>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</si>
  <si>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</si>
  <si>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</si>
  <si>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</si>
  <si>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</si>
  <si>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</si>
  <si>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</si>
  <si>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</si>
  <si>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</si>
  <si>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</si>
  <si>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</si>
  <si>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</si>
  <si>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</si>
  <si>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</si>
  <si>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</si>
  <si>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</si>
  <si>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</si>
  <si>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</si>
  <si>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</si>
  <si>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</si>
  <si>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</si>
  <si>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</si>
  <si>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</si>
  <si>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</si>
  <si>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</si>
  <si>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</si>
  <si>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</si>
  <si>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</si>
  <si>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</si>
  <si>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</si>
  <si>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</si>
  <si>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</si>
  <si>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</si>
  <si>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</si>
  <si>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</si>
  <si>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</si>
  <si>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</si>
  <si>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</si>
  <si>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</si>
  <si>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</si>
  <si>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</si>
  <si>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</si>
  <si>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</si>
  <si>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</si>
  <si>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</si>
  <si>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</si>
  <si>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</si>
  <si>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</si>
  <si>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</si>
  <si>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</si>
  <si>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</si>
  <si>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</si>
  <si>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</si>
  <si>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</si>
  <si>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</si>
  <si>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</si>
  <si>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</si>
  <si>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</si>
  <si>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</si>
  <si>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</si>
  <si>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</si>
  <si>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</si>
  <si>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</si>
  <si>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</si>
  <si>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</si>
  <si>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</si>
  <si>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</si>
  <si>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</si>
  <si>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</si>
  <si>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</si>
  <si>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</si>
  <si>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</si>
  <si>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</si>
  <si>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</si>
  <si>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</si>
  <si>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</si>
  <si>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</si>
  <si>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</si>
  <si>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</si>
  <si>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</si>
  <si>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</si>
  <si>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</si>
  <si>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</si>
  <si>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</si>
  <si>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</si>
  <si>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</si>
  <si>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</si>
  <si>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</si>
  <si>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</si>
  <si>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</si>
  <si>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</si>
  <si>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</si>
  <si>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</si>
  <si>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</si>
  <si>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</si>
  <si>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</si>
  <si>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</si>
  <si>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</si>
  <si>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</si>
  <si>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</si>
  <si>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</si>
  <si>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</si>
  <si>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</si>
  <si>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</si>
  <si>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</si>
  <si>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</si>
  <si>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</si>
  <si>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</si>
  <si>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</si>
  <si>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</si>
  <si>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</si>
  <si>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</si>
  <si>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</si>
  <si>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</si>
  <si>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</si>
  <si>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</si>
  <si>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</si>
  <si>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</si>
  <si>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</si>
  <si>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</si>
  <si>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</si>
  <si>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</si>
  <si>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</si>
  <si>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</si>
  <si>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</si>
  <si>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</si>
  <si>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</si>
  <si>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</si>
  <si>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</si>
  <si>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</si>
  <si>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</si>
  <si>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</si>
  <si>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</si>
  <si>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</si>
  <si>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</si>
  <si>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</si>
  <si>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</si>
  <si>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</si>
  <si>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</si>
  <si>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</si>
  <si>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</si>
  <si>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</si>
  <si>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</si>
  <si>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</si>
  <si>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</si>
  <si>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</si>
  <si>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</si>
  <si>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</si>
  <si>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</si>
  <si>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</si>
  <si>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</si>
  <si>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</si>
  <si>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</si>
  <si>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</si>
  <si>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</si>
  <si>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</si>
  <si>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</si>
  <si>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</si>
  <si>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</si>
  <si>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</si>
  <si>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</si>
  <si>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</si>
  <si>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</si>
  <si>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</si>
  <si>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</si>
  <si>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</si>
  <si>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</si>
  <si>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</si>
  <si>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</si>
  <si>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</si>
  <si>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</si>
  <si>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</si>
  <si>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</si>
  <si>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</si>
  <si>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</si>
  <si>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</si>
  <si>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</si>
  <si>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</si>
  <si>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</si>
  <si>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</si>
  <si>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</si>
  <si>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</si>
  <si>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</si>
  <si>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</si>
  <si>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</si>
  <si>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</si>
  <si>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</si>
  <si>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</si>
  <si>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</si>
  <si>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</si>
  <si>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</si>
  <si>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</si>
  <si>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</si>
  <si>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</si>
  <si>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</si>
  <si>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</si>
  <si>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</si>
  <si>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</si>
  <si>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</si>
  <si>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</si>
  <si>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</si>
  <si>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</si>
  <si>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</si>
  <si>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</si>
  <si>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</si>
  <si>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</si>
  <si>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</si>
  <si>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</si>
  <si>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</si>
  <si>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</si>
  <si>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</si>
  <si>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</si>
  <si>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</si>
  <si>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</si>
  <si>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</si>
  <si>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</si>
  <si>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</si>
  <si>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</si>
  <si>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</si>
  <si>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</si>
  <si>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74320</t>
  </si>
  <si>
    <t>215</t>
  </si>
  <si>
    <t>Humana Insurance Company</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</si>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</sst>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141</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44866321</v>
      </c>
      <c r="E5" s="213">
        <f>SUM('Pt 2 Premium and Claims'!E$5,'Pt 2 Premium and Claims'!E$6,-'Pt 2 Premium and Claims'!E$7,-'Pt 2 Premium and Claims'!E$13,'Pt 2 Premium and Claims'!E$14:'Pt 2 Premium and Claims'!E$17)</f>
        <v>53473085.610626906</v>
      </c>
      <c r="F5" s="213">
        <f>SUM('Pt 2 Premium and Claims'!F$5,'Pt 2 Premium and Claims'!F$6,-'Pt 2 Premium and Claims'!F$7,-'Pt 2 Premium and Claims'!F$13,'Pt 2 Premium and Claims'!F$14:'Pt 2 Premium and Claims'!F$17)</f>
        <v>1564774.36</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53471359</v>
      </c>
      <c r="J5" s="212">
        <f>SUM('Pt 2 Premium and Claims'!J$5,'Pt 2 Premium and Claims'!J$6,-'Pt 2 Premium and Claims'!J$7,-'Pt 2 Premium and Claims'!J$13,'Pt 2 Premium and Claims'!J$14,'Pt 2 Premium and Claims'!J$16:'Pt 2 Premium and Claims'!J$17)</f>
        <v>71221827</v>
      </c>
      <c r="K5" s="213">
        <f>SUM('Pt 2 Premium and Claims'!K$5,'Pt 2 Premium and Claims'!K$6,-'Pt 2 Premium and Claims'!K$7,-'Pt 2 Premium and Claims'!K$13,'Pt 2 Premium and Claims'!K$14,'Pt 2 Premium and Claims'!K$16:'Pt 2 Premium and Claims'!K$17)</f>
        <v>87501827.247225791</v>
      </c>
      <c r="L5" s="213">
        <f>SUM('Pt 2 Premium and Claims'!L$5,'Pt 2 Premium and Claims'!L$6,-'Pt 2 Premium and Claims'!L$7,-'Pt 2 Premium and Claims'!L$13,'Pt 2 Premium and Claims'!L$14,'Pt 2 Premium and Claims'!L$16:'Pt 2 Premium and Claims'!L$17)</f>
        <v>14613897.42</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18642764</v>
      </c>
      <c r="Q5" s="213">
        <f>SUM('Pt 2 Premium and Claims'!Q$5,'Pt 2 Premium and Claims'!Q$6,-'Pt 2 Premium and Claims'!Q$7,-'Pt 2 Premium and Claims'!Q$13,'Pt 2 Premium and Claims'!Q$14)</f>
        <v>23834339.7182221</v>
      </c>
      <c r="R5" s="213">
        <f>SUM('Pt 2 Premium and Claims'!R$5,'Pt 2 Premium and Claims'!R$6,-'Pt 2 Premium and Claims'!R$7,-'Pt 2 Premium and Claims'!R$13,'Pt 2 Premium and Claims'!R$14)</f>
        <v>3639955.9</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-834</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-268.04000000000002</v>
      </c>
      <c r="F7" s="217">
        <v>-268.04000000000002</v>
      </c>
      <c r="G7" s="217"/>
      <c r="H7" s="217"/>
      <c r="I7" s="216">
        <v>0</v>
      </c>
      <c r="J7" s="216">
        <v>0</v>
      </c>
      <c r="K7" s="217">
        <v>-13846.91</v>
      </c>
      <c r="L7" s="217">
        <v>-13846.91</v>
      </c>
      <c r="M7" s="217"/>
      <c r="N7" s="217"/>
      <c r="O7" s="216"/>
      <c r="P7" s="216">
        <v>0</v>
      </c>
      <c r="Q7" s="217">
        <v>-55844.95</v>
      </c>
      <c r="R7" s="217">
        <v>-55844.95</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-462299</v>
      </c>
      <c r="E8" s="268"/>
      <c r="F8" s="269"/>
      <c r="G8" s="269"/>
      <c r="H8" s="269"/>
      <c r="I8" s="272"/>
      <c r="J8" s="216">
        <v>-116693</v>
      </c>
      <c r="K8" s="268"/>
      <c r="L8" s="269"/>
      <c r="M8" s="269"/>
      <c r="N8" s="269"/>
      <c r="O8" s="272"/>
      <c r="P8" s="216">
        <v>-27586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42721252</v>
      </c>
      <c r="E12" s="213">
        <f>'Pt 2 Premium and Claims'!E$54</f>
        <v>49664673.435000002</v>
      </c>
      <c r="F12" s="213">
        <f>'Pt 2 Premium and Claims'!F$54</f>
        <v>2959902.2615</v>
      </c>
      <c r="G12" s="213">
        <f>'Pt 2 Premium and Claims'!G$54</f>
        <v>0</v>
      </c>
      <c r="H12" s="213">
        <f>'Pt 2 Premium and Claims'!H$54</f>
        <v>0</v>
      </c>
      <c r="I12" s="212">
        <f>'Pt 2 Premium and Claims'!I$54</f>
        <v>53928498</v>
      </c>
      <c r="J12" s="212">
        <f>'Pt 2 Premium and Claims'!J$54</f>
        <v>53058903</v>
      </c>
      <c r="K12" s="213">
        <f>'Pt 2 Premium and Claims'!K$54</f>
        <v>67349024.821293458</v>
      </c>
      <c r="L12" s="213">
        <f>'Pt 2 Premium and Claims'!L$54</f>
        <v>13192325.58153498</v>
      </c>
      <c r="M12" s="213">
        <f>'Pt 2 Premium and Claims'!M$54</f>
        <v>0</v>
      </c>
      <c r="N12" s="213">
        <f>'Pt 2 Premium and Claims'!N$54</f>
        <v>0</v>
      </c>
      <c r="O12" s="212">
        <f>'Pt 2 Premium and Claims'!O$54</f>
        <v>0</v>
      </c>
      <c r="P12" s="212">
        <f>'Pt 2 Premium and Claims'!P$54</f>
        <v>18184660</v>
      </c>
      <c r="Q12" s="213">
        <f>'Pt 2 Premium and Claims'!Q$54</f>
        <v>19818205.649765532</v>
      </c>
      <c r="R12" s="213">
        <f>'Pt 2 Premium and Claims'!R$54</f>
        <v>3384479.0073660603</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10439939</v>
      </c>
      <c r="E13" s="217">
        <v>10703101.6</v>
      </c>
      <c r="F13" s="217"/>
      <c r="G13" s="268"/>
      <c r="H13" s="269"/>
      <c r="I13" s="216">
        <v>10702542</v>
      </c>
      <c r="J13" s="216">
        <v>12991211</v>
      </c>
      <c r="K13" s="217">
        <v>13280702.938099958</v>
      </c>
      <c r="L13" s="217"/>
      <c r="M13" s="268"/>
      <c r="N13" s="269"/>
      <c r="O13" s="216"/>
      <c r="P13" s="216">
        <v>3531937</v>
      </c>
      <c r="Q13" s="217">
        <v>3305487.3326028571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989934</v>
      </c>
      <c r="E14" s="217">
        <v>977417.1</v>
      </c>
      <c r="F14" s="217"/>
      <c r="G14" s="267"/>
      <c r="H14" s="270"/>
      <c r="I14" s="216">
        <v>977400</v>
      </c>
      <c r="J14" s="216">
        <v>1655150</v>
      </c>
      <c r="K14" s="217">
        <v>1728714.5208412658</v>
      </c>
      <c r="L14" s="217"/>
      <c r="M14" s="267"/>
      <c r="N14" s="270"/>
      <c r="O14" s="216"/>
      <c r="P14" s="216">
        <v>543220</v>
      </c>
      <c r="Q14" s="217">
        <v>528118.08928239602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721</v>
      </c>
      <c r="E15" s="217">
        <v>743.63</v>
      </c>
      <c r="F15" s="217">
        <v>22.39</v>
      </c>
      <c r="G15" s="267"/>
      <c r="H15" s="273"/>
      <c r="I15" s="216">
        <v>743</v>
      </c>
      <c r="J15" s="216">
        <v>901</v>
      </c>
      <c r="K15" s="217">
        <v>1084.1510358972766</v>
      </c>
      <c r="L15" s="217">
        <v>207.18416726132239</v>
      </c>
      <c r="M15" s="267"/>
      <c r="N15" s="273"/>
      <c r="O15" s="216"/>
      <c r="P15" s="216">
        <v>258</v>
      </c>
      <c r="Q15" s="217">
        <v>346.77896410272331</v>
      </c>
      <c r="R15" s="217">
        <v>65.345832738677629</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-8408981</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7061715</v>
      </c>
      <c r="E17" s="267"/>
      <c r="F17" s="270"/>
      <c r="G17" s="270"/>
      <c r="H17" s="270"/>
      <c r="I17" s="271"/>
      <c r="J17" s="216">
        <v>855</v>
      </c>
      <c r="K17" s="267"/>
      <c r="L17" s="270"/>
      <c r="M17" s="270"/>
      <c r="N17" s="270"/>
      <c r="O17" s="271"/>
      <c r="P17" s="216">
        <v>-124457</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123465</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1247</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392</v>
      </c>
      <c r="K20" s="267"/>
      <c r="L20" s="270"/>
      <c r="M20" s="270"/>
      <c r="N20" s="270"/>
      <c r="O20" s="271"/>
      <c r="P20" s="216">
        <v>991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72209.740000000005</v>
      </c>
      <c r="E22" s="222">
        <f>'Pt 2 Premium and Claims'!E$55</f>
        <v>74606.66</v>
      </c>
      <c r="F22" s="222">
        <f>'Pt 2 Premium and Claims'!F$55</f>
        <v>1910.87</v>
      </c>
      <c r="G22" s="222">
        <f>'Pt 2 Premium and Claims'!G$55</f>
        <v>0</v>
      </c>
      <c r="H22" s="222">
        <f>'Pt 2 Premium and Claims'!H$55</f>
        <v>0</v>
      </c>
      <c r="I22" s="221">
        <f>'Pt 2 Premium and Claims'!I$55</f>
        <v>74606</v>
      </c>
      <c r="J22" s="221">
        <f>'Pt 2 Premium and Claims'!J$55</f>
        <v>97506.53</v>
      </c>
      <c r="K22" s="222">
        <f>'Pt 2 Premium and Claims'!K$55</f>
        <v>114264.87316375454</v>
      </c>
      <c r="L22" s="222">
        <f>'Pt 2 Premium and Claims'!L$55</f>
        <v>19347.223517416234</v>
      </c>
      <c r="M22" s="222">
        <f>'Pt 2 Premium and Claims'!M$55</f>
        <v>0</v>
      </c>
      <c r="N22" s="222">
        <f>'Pt 2 Premium and Claims'!N$55</f>
        <v>0</v>
      </c>
      <c r="O22" s="221">
        <f>'Pt 2 Premium and Claims'!O$55</f>
        <v>0</v>
      </c>
      <c r="P22" s="221">
        <f>'Pt 2 Premium and Claims'!P$55</f>
        <v>34631.26</v>
      </c>
      <c r="Q22" s="222">
        <f>'Pt 2 Premium and Claims'!Q$55</f>
        <v>43704.466836245461</v>
      </c>
      <c r="R22" s="222">
        <f>'Pt 2 Premium and Claims'!R$55</f>
        <v>6484.3264825837668</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-343964.7</v>
      </c>
      <c r="E25" s="217">
        <v>-996576.20131092565</v>
      </c>
      <c r="F25" s="217">
        <v>-651946.40878866869</v>
      </c>
      <c r="G25" s="217"/>
      <c r="H25" s="217"/>
      <c r="I25" s="216">
        <v>-2511515</v>
      </c>
      <c r="J25" s="216">
        <v>1573235.98</v>
      </c>
      <c r="K25" s="217">
        <v>557780.18050605571</v>
      </c>
      <c r="L25" s="217">
        <v>-159786.85074928025</v>
      </c>
      <c r="M25" s="217"/>
      <c r="N25" s="217"/>
      <c r="O25" s="216"/>
      <c r="P25" s="216">
        <v>-800914.35</v>
      </c>
      <c r="Q25" s="217">
        <v>-506985.01421514491</v>
      </c>
      <c r="R25" s="217">
        <v>-562384.66979369381</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21249.65</v>
      </c>
      <c r="E26" s="217">
        <v>19126.509999999998</v>
      </c>
      <c r="F26" s="217">
        <v>-2123.14</v>
      </c>
      <c r="G26" s="217"/>
      <c r="H26" s="217"/>
      <c r="I26" s="216">
        <v>13887</v>
      </c>
      <c r="J26" s="216">
        <v>27422.62</v>
      </c>
      <c r="K26" s="217">
        <v>32217.009382460979</v>
      </c>
      <c r="L26" s="217">
        <v>5458.0872825951737</v>
      </c>
      <c r="M26" s="217"/>
      <c r="N26" s="217"/>
      <c r="O26" s="216"/>
      <c r="P26" s="216">
        <v>17156.939999999999</v>
      </c>
      <c r="Q26" s="217">
        <v>20875.520617539019</v>
      </c>
      <c r="R26" s="217">
        <v>3054.8827174048261</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961259.6</v>
      </c>
      <c r="E27" s="217">
        <v>987267.16</v>
      </c>
      <c r="F27" s="217">
        <v>26007.56</v>
      </c>
      <c r="G27" s="217"/>
      <c r="H27" s="217"/>
      <c r="I27" s="216">
        <v>986672</v>
      </c>
      <c r="J27" s="216">
        <v>1355907.72</v>
      </c>
      <c r="K27" s="217">
        <v>1561473.8285572138</v>
      </c>
      <c r="L27" s="217">
        <v>240763.81772746367</v>
      </c>
      <c r="M27" s="217"/>
      <c r="N27" s="217"/>
      <c r="O27" s="216"/>
      <c r="P27" s="216">
        <v>366972.09</v>
      </c>
      <c r="Q27" s="217">
        <v>478095.58144278626</v>
      </c>
      <c r="R27" s="217">
        <v>75925.782272536337</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110712.4</v>
      </c>
      <c r="E28" s="217">
        <v>114107.72</v>
      </c>
      <c r="F28" s="217">
        <v>3395.32</v>
      </c>
      <c r="G28" s="217"/>
      <c r="H28" s="217"/>
      <c r="I28" s="216">
        <v>113970</v>
      </c>
      <c r="J28" s="216">
        <v>122729.89</v>
      </c>
      <c r="K28" s="217">
        <v>143944.04731677321</v>
      </c>
      <c r="L28" s="217">
        <v>24450.834769480814</v>
      </c>
      <c r="M28" s="217"/>
      <c r="N28" s="217"/>
      <c r="O28" s="216"/>
      <c r="P28" s="216">
        <v>44141.29</v>
      </c>
      <c r="Q28" s="217">
        <v>56041.402683226799</v>
      </c>
      <c r="R28" s="217">
        <v>8663.435230519186</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180.87</v>
      </c>
      <c r="E30" s="217">
        <v>-50499.444408743082</v>
      </c>
      <c r="F30" s="217">
        <v>-50621.305663504005</v>
      </c>
      <c r="G30" s="217"/>
      <c r="H30" s="217"/>
      <c r="I30" s="216">
        <v>-187778</v>
      </c>
      <c r="J30" s="216">
        <v>184899.97</v>
      </c>
      <c r="K30" s="217">
        <v>98114.516292010157</v>
      </c>
      <c r="L30" s="217">
        <v>-9655.4285408573214</v>
      </c>
      <c r="M30" s="217"/>
      <c r="N30" s="217"/>
      <c r="O30" s="216"/>
      <c r="P30" s="216">
        <v>-56185.84</v>
      </c>
      <c r="Q30" s="217">
        <v>-21995.723293557166</v>
      </c>
      <c r="R30" s="217">
        <v>-42997.139587339952</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c r="E31" s="217">
        <v>28883.52</v>
      </c>
      <c r="F31" s="217">
        <v>28883.52</v>
      </c>
      <c r="G31" s="217"/>
      <c r="H31" s="217"/>
      <c r="I31" s="216">
        <v>28589</v>
      </c>
      <c r="J31" s="216"/>
      <c r="K31" s="217">
        <v>259759.48117894866</v>
      </c>
      <c r="L31" s="217">
        <v>259759.48117894866</v>
      </c>
      <c r="M31" s="217"/>
      <c r="N31" s="217"/>
      <c r="O31" s="216"/>
      <c r="P31" s="216"/>
      <c r="Q31" s="217">
        <v>72763.718821051341</v>
      </c>
      <c r="R31" s="217">
        <v>72763.718821051341</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128710.06</v>
      </c>
      <c r="E34" s="217">
        <v>510883.52</v>
      </c>
      <c r="F34" s="217">
        <v>0</v>
      </c>
      <c r="G34" s="217"/>
      <c r="H34" s="217"/>
      <c r="I34" s="216">
        <v>510028</v>
      </c>
      <c r="J34" s="216">
        <v>793758.7</v>
      </c>
      <c r="K34" s="217">
        <v>772351.2496665006</v>
      </c>
      <c r="L34" s="217"/>
      <c r="M34" s="217"/>
      <c r="N34" s="217"/>
      <c r="O34" s="216"/>
      <c r="P34" s="216">
        <v>247404.5</v>
      </c>
      <c r="Q34" s="217">
        <v>268811.95033349941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261866.13</v>
      </c>
      <c r="E35" s="217">
        <v>263294.62</v>
      </c>
      <c r="F35" s="217">
        <v>1428.49</v>
      </c>
      <c r="G35" s="217"/>
      <c r="H35" s="217"/>
      <c r="I35" s="216">
        <v>263252</v>
      </c>
      <c r="J35" s="216">
        <v>52405.56</v>
      </c>
      <c r="K35" s="217">
        <v>61451.622745916618</v>
      </c>
      <c r="L35" s="217">
        <v>10485.603380908569</v>
      </c>
      <c r="M35" s="217"/>
      <c r="N35" s="217"/>
      <c r="O35" s="216"/>
      <c r="P35" s="216">
        <v>13651.1</v>
      </c>
      <c r="Q35" s="217">
        <v>17886.837254083381</v>
      </c>
      <c r="R35" s="217">
        <v>2796.1966190914304</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135537</v>
      </c>
      <c r="E37" s="225">
        <v>136856.21</v>
      </c>
      <c r="F37" s="225">
        <v>1319.09</v>
      </c>
      <c r="G37" s="225"/>
      <c r="H37" s="225"/>
      <c r="I37" s="224">
        <v>137207</v>
      </c>
      <c r="J37" s="224">
        <v>166742</v>
      </c>
      <c r="K37" s="225">
        <v>175655.74119853289</v>
      </c>
      <c r="L37" s="225">
        <v>13684.83108185249</v>
      </c>
      <c r="M37" s="225"/>
      <c r="N37" s="225"/>
      <c r="O37" s="224"/>
      <c r="P37" s="224">
        <v>83227</v>
      </c>
      <c r="Q37" s="225">
        <v>102414.1888014671</v>
      </c>
      <c r="R37" s="225">
        <v>14415.66891814751</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48219</v>
      </c>
      <c r="AW37" s="296"/>
    </row>
    <row r="38" spans="1:49" x14ac:dyDescent="0.2">
      <c r="B38" s="239" t="s">
        <v>254</v>
      </c>
      <c r="C38" s="203" t="s">
        <v>16</v>
      </c>
      <c r="D38" s="216">
        <v>6366</v>
      </c>
      <c r="E38" s="217">
        <v>6566.18</v>
      </c>
      <c r="F38" s="217">
        <v>200.12</v>
      </c>
      <c r="G38" s="217"/>
      <c r="H38" s="217"/>
      <c r="I38" s="216">
        <v>6566</v>
      </c>
      <c r="J38" s="216">
        <v>7691</v>
      </c>
      <c r="K38" s="217">
        <v>8745.0171921271485</v>
      </c>
      <c r="L38" s="217">
        <v>1369.4922904541284</v>
      </c>
      <c r="M38" s="217"/>
      <c r="N38" s="217"/>
      <c r="O38" s="216"/>
      <c r="P38" s="216">
        <v>20288</v>
      </c>
      <c r="Q38" s="217">
        <v>32423.262807872852</v>
      </c>
      <c r="R38" s="217">
        <v>11819.797709545872</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8354</v>
      </c>
      <c r="AW38" s="297"/>
    </row>
    <row r="39" spans="1:49" x14ac:dyDescent="0.2">
      <c r="B39" s="242" t="s">
        <v>255</v>
      </c>
      <c r="C39" s="203" t="s">
        <v>17</v>
      </c>
      <c r="D39" s="216">
        <v>52951</v>
      </c>
      <c r="E39" s="217">
        <v>53266.74</v>
      </c>
      <c r="F39" s="217">
        <v>315.74</v>
      </c>
      <c r="G39" s="217"/>
      <c r="H39" s="217"/>
      <c r="I39" s="216">
        <v>53232</v>
      </c>
      <c r="J39" s="216">
        <v>93629</v>
      </c>
      <c r="K39" s="217">
        <v>94036.510449726324</v>
      </c>
      <c r="L39" s="217">
        <v>2950.306634314627</v>
      </c>
      <c r="M39" s="217"/>
      <c r="N39" s="217"/>
      <c r="O39" s="216"/>
      <c r="P39" s="216">
        <v>28713</v>
      </c>
      <c r="Q39" s="217">
        <v>33870.63955027367</v>
      </c>
      <c r="R39" s="217">
        <v>2614.8533656853733</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1396</v>
      </c>
      <c r="AW39" s="297"/>
    </row>
    <row r="40" spans="1:49" x14ac:dyDescent="0.2">
      <c r="B40" s="242" t="s">
        <v>256</v>
      </c>
      <c r="C40" s="203" t="s">
        <v>38</v>
      </c>
      <c r="D40" s="216">
        <v>50797</v>
      </c>
      <c r="E40" s="217">
        <v>50931.83</v>
      </c>
      <c r="F40" s="217">
        <v>134.66999999999999</v>
      </c>
      <c r="G40" s="217"/>
      <c r="H40" s="217"/>
      <c r="I40" s="216">
        <v>50932</v>
      </c>
      <c r="J40" s="216">
        <v>769794</v>
      </c>
      <c r="K40" s="217">
        <v>776374.93751844147</v>
      </c>
      <c r="L40" s="217">
        <v>27763.768786841225</v>
      </c>
      <c r="M40" s="217"/>
      <c r="N40" s="217"/>
      <c r="O40" s="216"/>
      <c r="P40" s="216">
        <v>252042</v>
      </c>
      <c r="Q40" s="217">
        <v>286583.17248155852</v>
      </c>
      <c r="R40" s="217">
        <v>13358.921213158774</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35341</v>
      </c>
      <c r="AW40" s="297"/>
    </row>
    <row r="41" spans="1:49" s="5" customFormat="1" ht="25.5" x14ac:dyDescent="0.2">
      <c r="A41" s="35"/>
      <c r="B41" s="242" t="s">
        <v>257</v>
      </c>
      <c r="C41" s="203" t="s">
        <v>129</v>
      </c>
      <c r="D41" s="216">
        <v>55247</v>
      </c>
      <c r="E41" s="217">
        <v>56970.22</v>
      </c>
      <c r="F41" s="217">
        <v>1723.32</v>
      </c>
      <c r="G41" s="217"/>
      <c r="H41" s="217"/>
      <c r="I41" s="216">
        <v>56968</v>
      </c>
      <c r="J41" s="216">
        <v>100244</v>
      </c>
      <c r="K41" s="217">
        <v>117291.23144638132</v>
      </c>
      <c r="L41" s="217">
        <v>19746.49868590921</v>
      </c>
      <c r="M41" s="217"/>
      <c r="N41" s="217"/>
      <c r="O41" s="216"/>
      <c r="P41" s="216">
        <v>31715</v>
      </c>
      <c r="Q41" s="217">
        <v>40445.588553618676</v>
      </c>
      <c r="R41" s="217">
        <v>6031.2713140907899</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3053</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478711</v>
      </c>
      <c r="E44" s="225">
        <v>490037.3</v>
      </c>
      <c r="F44" s="225">
        <v>11326.64</v>
      </c>
      <c r="G44" s="225"/>
      <c r="H44" s="225"/>
      <c r="I44" s="224">
        <v>486951</v>
      </c>
      <c r="J44" s="224">
        <v>734490</v>
      </c>
      <c r="K44" s="225">
        <v>782174.45039625361</v>
      </c>
      <c r="L44" s="225">
        <v>66679.277495201255</v>
      </c>
      <c r="M44" s="225"/>
      <c r="N44" s="225"/>
      <c r="O44" s="224"/>
      <c r="P44" s="224">
        <v>288874</v>
      </c>
      <c r="Q44" s="225">
        <v>338563.98960374633</v>
      </c>
      <c r="R44" s="225">
        <v>30695.37250479875</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23191</v>
      </c>
      <c r="AW44" s="296"/>
    </row>
    <row r="45" spans="1:49" x14ac:dyDescent="0.2">
      <c r="B45" s="245" t="s">
        <v>261</v>
      </c>
      <c r="C45" s="203" t="s">
        <v>19</v>
      </c>
      <c r="D45" s="216">
        <v>425529</v>
      </c>
      <c r="E45" s="217">
        <v>437475.38</v>
      </c>
      <c r="F45" s="217">
        <v>11946.44</v>
      </c>
      <c r="G45" s="217"/>
      <c r="H45" s="217"/>
      <c r="I45" s="216">
        <v>448660</v>
      </c>
      <c r="J45" s="216">
        <v>439870</v>
      </c>
      <c r="K45" s="217">
        <v>496493.34807968908</v>
      </c>
      <c r="L45" s="217">
        <v>68421.561447045358</v>
      </c>
      <c r="M45" s="217"/>
      <c r="N45" s="217"/>
      <c r="O45" s="216"/>
      <c r="P45" s="216">
        <v>150739</v>
      </c>
      <c r="Q45" s="217">
        <v>181603.52192031092</v>
      </c>
      <c r="R45" s="217">
        <v>19066.258552954641</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15363</v>
      </c>
      <c r="AW45" s="297"/>
    </row>
    <row r="46" spans="1:49" x14ac:dyDescent="0.2">
      <c r="B46" s="245" t="s">
        <v>262</v>
      </c>
      <c r="C46" s="203" t="s">
        <v>20</v>
      </c>
      <c r="D46" s="216">
        <v>217812</v>
      </c>
      <c r="E46" s="217">
        <v>224840.89</v>
      </c>
      <c r="F46" s="217">
        <v>7029.3</v>
      </c>
      <c r="G46" s="217"/>
      <c r="H46" s="217"/>
      <c r="I46" s="216">
        <v>224446</v>
      </c>
      <c r="J46" s="216">
        <v>331526</v>
      </c>
      <c r="K46" s="217">
        <v>387659.98758767155</v>
      </c>
      <c r="L46" s="217">
        <v>64988.775571445847</v>
      </c>
      <c r="M46" s="217"/>
      <c r="N46" s="217"/>
      <c r="O46" s="216"/>
      <c r="P46" s="216">
        <v>116832</v>
      </c>
      <c r="Q46" s="217">
        <v>148281.86241232845</v>
      </c>
      <c r="R46" s="217">
        <v>22595.114428554152</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22963</v>
      </c>
      <c r="AW46" s="297"/>
    </row>
    <row r="47" spans="1:49" x14ac:dyDescent="0.2">
      <c r="B47" s="245" t="s">
        <v>263</v>
      </c>
      <c r="C47" s="203" t="s">
        <v>21</v>
      </c>
      <c r="D47" s="216">
        <v>1400338</v>
      </c>
      <c r="E47" s="217">
        <v>1401601.31</v>
      </c>
      <c r="F47" s="217">
        <v>1263.24</v>
      </c>
      <c r="G47" s="217"/>
      <c r="H47" s="217"/>
      <c r="I47" s="216">
        <v>1382496</v>
      </c>
      <c r="J47" s="216">
        <v>4897562</v>
      </c>
      <c r="K47" s="217">
        <v>4769950.1494200844</v>
      </c>
      <c r="L47" s="217">
        <v>9097.0846034751812</v>
      </c>
      <c r="M47" s="217"/>
      <c r="N47" s="217"/>
      <c r="O47" s="216"/>
      <c r="P47" s="216">
        <v>1313879</v>
      </c>
      <c r="Q47" s="217">
        <v>1453811.1905799154</v>
      </c>
      <c r="R47" s="217">
        <v>3223.315396524818</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53155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-220625.48</v>
      </c>
      <c r="E49" s="217">
        <v>-239248.78</v>
      </c>
      <c r="F49" s="217">
        <v>-18623.3</v>
      </c>
      <c r="G49" s="217"/>
      <c r="H49" s="217"/>
      <c r="I49" s="216">
        <v>-203327</v>
      </c>
      <c r="J49" s="216">
        <v>1009424.99</v>
      </c>
      <c r="K49" s="217">
        <v>1009871.0461358167</v>
      </c>
      <c r="L49" s="217">
        <v>446.79868989909977</v>
      </c>
      <c r="M49" s="217"/>
      <c r="N49" s="217"/>
      <c r="O49" s="216"/>
      <c r="P49" s="216">
        <v>-540694.35</v>
      </c>
      <c r="Q49" s="217">
        <v>-561653.3961358167</v>
      </c>
      <c r="R49" s="217">
        <v>-20959.788689899098</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3292084</v>
      </c>
      <c r="E51" s="217">
        <v>3390559.96</v>
      </c>
      <c r="F51" s="217">
        <v>98475.75</v>
      </c>
      <c r="G51" s="217"/>
      <c r="H51" s="217"/>
      <c r="I51" s="216">
        <v>3389916</v>
      </c>
      <c r="J51" s="216">
        <v>3875843</v>
      </c>
      <c r="K51" s="217">
        <v>4521138.0999613591</v>
      </c>
      <c r="L51" s="217">
        <v>746676.32409988123</v>
      </c>
      <c r="M51" s="217"/>
      <c r="N51" s="217"/>
      <c r="O51" s="216"/>
      <c r="P51" s="216">
        <v>1333434</v>
      </c>
      <c r="Q51" s="217">
        <v>1689184.7900386408</v>
      </c>
      <c r="R51" s="217">
        <v>254369.91590011879</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210300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6756</v>
      </c>
      <c r="E56" s="229">
        <v>6756</v>
      </c>
      <c r="F56" s="229">
        <v>0</v>
      </c>
      <c r="G56" s="229"/>
      <c r="H56" s="229"/>
      <c r="I56" s="228">
        <v>6756</v>
      </c>
      <c r="J56" s="228">
        <v>10788</v>
      </c>
      <c r="K56" s="229">
        <v>10788</v>
      </c>
      <c r="L56" s="229">
        <v>0</v>
      </c>
      <c r="M56" s="229"/>
      <c r="N56" s="229"/>
      <c r="O56" s="228"/>
      <c r="P56" s="228">
        <v>3241</v>
      </c>
      <c r="Q56" s="229">
        <v>3241</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560</v>
      </c>
      <c r="AW56" s="288"/>
    </row>
    <row r="57" spans="2:49" x14ac:dyDescent="0.2">
      <c r="B57" s="245" t="s">
        <v>272</v>
      </c>
      <c r="C57" s="203" t="s">
        <v>25</v>
      </c>
      <c r="D57" s="231">
        <v>10716</v>
      </c>
      <c r="E57" s="232">
        <v>10716</v>
      </c>
      <c r="F57" s="232">
        <v>391</v>
      </c>
      <c r="G57" s="232"/>
      <c r="H57" s="232"/>
      <c r="I57" s="231">
        <v>10716</v>
      </c>
      <c r="J57" s="231">
        <v>18487</v>
      </c>
      <c r="K57" s="232">
        <v>18021</v>
      </c>
      <c r="L57" s="232">
        <v>3206</v>
      </c>
      <c r="M57" s="232"/>
      <c r="N57" s="232"/>
      <c r="O57" s="231"/>
      <c r="P57" s="231">
        <v>5566</v>
      </c>
      <c r="Q57" s="232">
        <v>6032</v>
      </c>
      <c r="R57" s="232">
        <v>915</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1133</v>
      </c>
      <c r="AW57" s="289"/>
    </row>
    <row r="58" spans="2:49" x14ac:dyDescent="0.2">
      <c r="B58" s="245" t="s">
        <v>273</v>
      </c>
      <c r="C58" s="203" t="s">
        <v>26</v>
      </c>
      <c r="D58" s="309"/>
      <c r="E58" s="310"/>
      <c r="F58" s="310"/>
      <c r="G58" s="310"/>
      <c r="H58" s="310"/>
      <c r="I58" s="309"/>
      <c r="J58" s="231">
        <v>1669</v>
      </c>
      <c r="K58" s="232">
        <v>1669</v>
      </c>
      <c r="L58" s="232"/>
      <c r="M58" s="232"/>
      <c r="N58" s="232"/>
      <c r="O58" s="231"/>
      <c r="P58" s="231">
        <v>82</v>
      </c>
      <c r="Q58" s="232">
        <v>82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19</v>
      </c>
      <c r="AW58" s="289"/>
    </row>
    <row r="59" spans="2:49" x14ac:dyDescent="0.2">
      <c r="B59" s="245" t="s">
        <v>274</v>
      </c>
      <c r="C59" s="203" t="s">
        <v>27</v>
      </c>
      <c r="D59" s="231">
        <v>139732</v>
      </c>
      <c r="E59" s="232">
        <v>138751</v>
      </c>
      <c r="F59" s="232">
        <v>4494</v>
      </c>
      <c r="G59" s="232"/>
      <c r="H59" s="232"/>
      <c r="I59" s="231">
        <v>138749</v>
      </c>
      <c r="J59" s="231">
        <v>220823</v>
      </c>
      <c r="K59" s="232">
        <v>215339</v>
      </c>
      <c r="L59" s="232">
        <v>36502</v>
      </c>
      <c r="M59" s="232"/>
      <c r="N59" s="232"/>
      <c r="O59" s="231"/>
      <c r="P59" s="231">
        <v>69410</v>
      </c>
      <c r="Q59" s="232">
        <v>74883</v>
      </c>
      <c r="R59" s="232">
        <v>11225</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5937</v>
      </c>
      <c r="AW59" s="289"/>
    </row>
    <row r="60" spans="2:49" x14ac:dyDescent="0.2">
      <c r="B60" s="245" t="s">
        <v>275</v>
      </c>
      <c r="C60" s="203"/>
      <c r="D60" s="234">
        <f t="shared" ref="D60:AC60" si="0">D$59/12</f>
        <v>11644.333333333334</v>
      </c>
      <c r="E60" s="235">
        <f t="shared" si="0"/>
        <v>11562.583333333334</v>
      </c>
      <c r="F60" s="235">
        <f t="shared" si="0"/>
        <v>374.5</v>
      </c>
      <c r="G60" s="235">
        <f t="shared" si="0"/>
        <v>0</v>
      </c>
      <c r="H60" s="235">
        <f t="shared" si="0"/>
        <v>0</v>
      </c>
      <c r="I60" s="234">
        <f t="shared" si="0"/>
        <v>11562.416666666666</v>
      </c>
      <c r="J60" s="234">
        <f t="shared" si="0"/>
        <v>18401.916666666668</v>
      </c>
      <c r="K60" s="235">
        <f t="shared" si="0"/>
        <v>17944.916666666668</v>
      </c>
      <c r="L60" s="235">
        <f t="shared" si="0"/>
        <v>3041.8333333333335</v>
      </c>
      <c r="M60" s="235">
        <f t="shared" si="0"/>
        <v>0</v>
      </c>
      <c r="N60" s="235">
        <f t="shared" si="0"/>
        <v>0</v>
      </c>
      <c r="O60" s="234">
        <f t="shared" si="0"/>
        <v>0</v>
      </c>
      <c r="P60" s="234">
        <f t="shared" si="0"/>
        <v>5784.166666666667</v>
      </c>
      <c r="Q60" s="235">
        <f t="shared" si="0"/>
        <v>6240.25</v>
      </c>
      <c r="R60" s="235">
        <f t="shared" si="0"/>
        <v>935.41666666666663</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494.75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44866321</v>
      </c>
      <c r="E5" s="326">
        <v>41906992.590626903</v>
      </c>
      <c r="F5" s="326">
        <v>1564774.36</v>
      </c>
      <c r="G5" s="328"/>
      <c r="H5" s="328"/>
      <c r="I5" s="325">
        <v>41905266</v>
      </c>
      <c r="J5" s="325">
        <v>71221827</v>
      </c>
      <c r="K5" s="326">
        <v>84339917.417225793</v>
      </c>
      <c r="L5" s="326">
        <v>14613897.42</v>
      </c>
      <c r="M5" s="326"/>
      <c r="N5" s="326"/>
      <c r="O5" s="325"/>
      <c r="P5" s="325">
        <v>18642764</v>
      </c>
      <c r="Q5" s="326">
        <v>23834339.7182221</v>
      </c>
      <c r="R5" s="326">
        <v>3639955.9</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-834</v>
      </c>
      <c r="AU5" s="327">
        <v>0</v>
      </c>
      <c r="AV5" s="369"/>
      <c r="AW5" s="373"/>
    </row>
    <row r="6" spans="2:49" x14ac:dyDescent="0.2">
      <c r="B6" s="343" t="s">
        <v>278</v>
      </c>
      <c r="C6" s="331" t="s">
        <v>8</v>
      </c>
      <c r="D6" s="318">
        <v>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-344823</v>
      </c>
      <c r="E9" s="362"/>
      <c r="F9" s="362"/>
      <c r="G9" s="362"/>
      <c r="H9" s="362"/>
      <c r="I9" s="364"/>
      <c r="J9" s="318">
        <v>0</v>
      </c>
      <c r="K9" s="362"/>
      <c r="L9" s="362"/>
      <c r="M9" s="362"/>
      <c r="N9" s="362"/>
      <c r="O9" s="364"/>
      <c r="P9" s="318">
        <v>123464</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c r="P10" s="365"/>
      <c r="Q10" s="319">
        <v>0</v>
      </c>
      <c r="R10" s="319">
        <v>0</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-5321500</v>
      </c>
      <c r="E11" s="319"/>
      <c r="F11" s="319"/>
      <c r="G11" s="319"/>
      <c r="H11" s="319"/>
      <c r="I11" s="318">
        <v>0</v>
      </c>
      <c r="J11" s="318">
        <v>392</v>
      </c>
      <c r="K11" s="319"/>
      <c r="L11" s="319"/>
      <c r="M11" s="319"/>
      <c r="N11" s="319"/>
      <c r="O11" s="318"/>
      <c r="P11" s="318">
        <v>991</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-254070</v>
      </c>
      <c r="E12" s="363"/>
      <c r="F12" s="363"/>
      <c r="G12" s="363"/>
      <c r="H12" s="363"/>
      <c r="I12" s="365"/>
      <c r="J12" s="318">
        <v>1247</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7610460.5300000003</v>
      </c>
      <c r="F15" s="319"/>
      <c r="G15" s="319"/>
      <c r="H15" s="319"/>
      <c r="I15" s="318">
        <v>7610461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3955632.49</v>
      </c>
      <c r="F16" s="319"/>
      <c r="G16" s="319"/>
      <c r="H16" s="319"/>
      <c r="I16" s="318">
        <v>3955632</v>
      </c>
      <c r="J16" s="318"/>
      <c r="K16" s="319">
        <v>3161909.83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5509769.852</v>
      </c>
      <c r="F20" s="319"/>
      <c r="G20" s="319"/>
      <c r="H20" s="319"/>
      <c r="I20" s="318">
        <v>5509770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54103719</v>
      </c>
      <c r="E23" s="362"/>
      <c r="F23" s="362"/>
      <c r="G23" s="362"/>
      <c r="H23" s="362"/>
      <c r="I23" s="364"/>
      <c r="J23" s="318">
        <v>52696853</v>
      </c>
      <c r="K23" s="362"/>
      <c r="L23" s="362"/>
      <c r="M23" s="362"/>
      <c r="N23" s="362"/>
      <c r="O23" s="364"/>
      <c r="P23" s="318">
        <v>17276744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10401</v>
      </c>
      <c r="AU23" s="321">
        <v>0</v>
      </c>
      <c r="AV23" s="368"/>
      <c r="AW23" s="374"/>
    </row>
    <row r="24" spans="2:49" ht="28.5" customHeight="1" x14ac:dyDescent="0.2">
      <c r="B24" s="345" t="s">
        <v>114</v>
      </c>
      <c r="C24" s="331"/>
      <c r="D24" s="365"/>
      <c r="E24" s="319">
        <v>53974736.060000002</v>
      </c>
      <c r="F24" s="319">
        <v>2862518.72</v>
      </c>
      <c r="G24" s="319"/>
      <c r="H24" s="319"/>
      <c r="I24" s="318">
        <v>53947353</v>
      </c>
      <c r="J24" s="365"/>
      <c r="K24" s="319">
        <v>68055679.239999995</v>
      </c>
      <c r="L24" s="319">
        <v>14664256.689999999</v>
      </c>
      <c r="M24" s="319"/>
      <c r="N24" s="319"/>
      <c r="O24" s="318"/>
      <c r="P24" s="365"/>
      <c r="Q24" s="319">
        <v>20002339.530000001</v>
      </c>
      <c r="R24" s="319">
        <v>3568273.49</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5172169</v>
      </c>
      <c r="E26" s="362"/>
      <c r="F26" s="362"/>
      <c r="G26" s="362"/>
      <c r="H26" s="362"/>
      <c r="I26" s="364"/>
      <c r="J26" s="318">
        <v>4964549</v>
      </c>
      <c r="K26" s="362"/>
      <c r="L26" s="362"/>
      <c r="M26" s="362"/>
      <c r="N26" s="362"/>
      <c r="O26" s="364"/>
      <c r="P26" s="318">
        <v>1798917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959204.76499999978</v>
      </c>
      <c r="F27" s="319">
        <v>97383.541500000007</v>
      </c>
      <c r="G27" s="319"/>
      <c r="H27" s="319"/>
      <c r="I27" s="318">
        <v>958545</v>
      </c>
      <c r="J27" s="365"/>
      <c r="K27" s="319">
        <v>1008412.4320429573</v>
      </c>
      <c r="L27" s="319">
        <v>429031.7916</v>
      </c>
      <c r="M27" s="319"/>
      <c r="N27" s="319"/>
      <c r="O27" s="318"/>
      <c r="P27" s="365"/>
      <c r="Q27" s="319">
        <v>293594.8047809428</v>
      </c>
      <c r="R27" s="319">
        <v>77849.058300000004</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6659001</v>
      </c>
      <c r="E28" s="363"/>
      <c r="F28" s="363"/>
      <c r="G28" s="363"/>
      <c r="H28" s="363"/>
      <c r="I28" s="365"/>
      <c r="J28" s="318">
        <v>4268057</v>
      </c>
      <c r="K28" s="363"/>
      <c r="L28" s="363"/>
      <c r="M28" s="363"/>
      <c r="N28" s="363"/>
      <c r="O28" s="365"/>
      <c r="P28" s="318">
        <v>1034642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10401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23382</v>
      </c>
      <c r="K30" s="362"/>
      <c r="L30" s="362"/>
      <c r="M30" s="362"/>
      <c r="N30" s="362"/>
      <c r="O30" s="364"/>
      <c r="P30" s="318">
        <v>450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15706.25</v>
      </c>
      <c r="L31" s="319"/>
      <c r="M31" s="319"/>
      <c r="N31" s="319"/>
      <c r="O31" s="318"/>
      <c r="P31" s="365"/>
      <c r="Q31" s="319">
        <v>60.82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7676</v>
      </c>
      <c r="K32" s="363"/>
      <c r="L32" s="363"/>
      <c r="M32" s="363"/>
      <c r="N32" s="363"/>
      <c r="O32" s="365"/>
      <c r="P32" s="318">
        <v>389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1111513</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1111512.8500000001</v>
      </c>
      <c r="F35" s="319"/>
      <c r="G35" s="319"/>
      <c r="H35" s="319"/>
      <c r="I35" s="318">
        <v>0</v>
      </c>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5403363</v>
      </c>
      <c r="E36" s="319">
        <v>5403363.1399999997</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-344823</v>
      </c>
      <c r="E38" s="362"/>
      <c r="F38" s="362"/>
      <c r="G38" s="362"/>
      <c r="H38" s="362"/>
      <c r="I38" s="364"/>
      <c r="J38" s="318">
        <v>0</v>
      </c>
      <c r="K38" s="362"/>
      <c r="L38" s="362"/>
      <c r="M38" s="362"/>
      <c r="N38" s="362"/>
      <c r="O38" s="364"/>
      <c r="P38" s="318">
        <v>123464</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c r="P39" s="365"/>
      <c r="Q39" s="319">
        <v>0</v>
      </c>
      <c r="R39" s="319">
        <v>0</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-5321500</v>
      </c>
      <c r="E41" s="362"/>
      <c r="F41" s="362"/>
      <c r="G41" s="362"/>
      <c r="H41" s="362"/>
      <c r="I41" s="364"/>
      <c r="J41" s="318">
        <v>392</v>
      </c>
      <c r="K41" s="362"/>
      <c r="L41" s="362"/>
      <c r="M41" s="362"/>
      <c r="N41" s="362"/>
      <c r="O41" s="364"/>
      <c r="P41" s="318">
        <v>991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-254070</v>
      </c>
      <c r="E43" s="363"/>
      <c r="F43" s="363"/>
      <c r="G43" s="363"/>
      <c r="H43" s="363"/>
      <c r="I43" s="365"/>
      <c r="J43" s="318">
        <v>1247</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272106</v>
      </c>
      <c r="E49" s="319">
        <v>977417.1</v>
      </c>
      <c r="F49" s="319"/>
      <c r="G49" s="319"/>
      <c r="H49" s="319"/>
      <c r="I49" s="318">
        <v>977400</v>
      </c>
      <c r="J49" s="318">
        <v>526137</v>
      </c>
      <c r="K49" s="319">
        <v>1728714.5208412658</v>
      </c>
      <c r="L49" s="319"/>
      <c r="M49" s="319"/>
      <c r="N49" s="319"/>
      <c r="O49" s="318"/>
      <c r="P49" s="318">
        <v>37853</v>
      </c>
      <c r="Q49" s="319">
        <v>528118.08928239602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80574</v>
      </c>
      <c r="E50" s="363"/>
      <c r="F50" s="363"/>
      <c r="G50" s="363"/>
      <c r="H50" s="363"/>
      <c r="I50" s="365"/>
      <c r="J50" s="318">
        <v>176844</v>
      </c>
      <c r="K50" s="363"/>
      <c r="L50" s="363"/>
      <c r="M50" s="363"/>
      <c r="N50" s="363"/>
      <c r="O50" s="365"/>
      <c r="P50" s="318">
        <v>56978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-2058.5799082150274</v>
      </c>
      <c r="L53" s="319">
        <v>-1900962.9000650204</v>
      </c>
      <c r="M53" s="319"/>
      <c r="N53" s="319"/>
      <c r="O53" s="318"/>
      <c r="P53" s="318">
        <v>0</v>
      </c>
      <c r="Q53" s="319">
        <v>50328.584266986749</v>
      </c>
      <c r="R53" s="319">
        <v>-261643.54093393998</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42721252</v>
      </c>
      <c r="E54" s="323">
        <f>E24+E27+E31+E35-E36+E39+E42+E45+E46-E49+E51+E52+E53</f>
        <v>49664673.435000002</v>
      </c>
      <c r="F54" s="323">
        <f>F24+F27+F31+F35-F36+F39+F42+F45+F46-F49+F51+F52+F53</f>
        <v>2959902.2615</v>
      </c>
      <c r="G54" s="323">
        <f>G24+G27+G31+G35-G36+G39+G42+G45+G46-G49+G51+G52+G53</f>
        <v>0</v>
      </c>
      <c r="H54" s="323">
        <f>H24+H27+H31+H35-H36+H39+H42+H45+H46-H49+H51+H52+H53</f>
        <v>0</v>
      </c>
      <c r="I54" s="322">
        <f>I24+I27+I31+I35-I36+I39+I42+I45+I46-I49+I51+I52+I53</f>
        <v>53928498</v>
      </c>
      <c r="J54" s="322">
        <f>J23+J26-J28+J30-J32+J34-J36+J38+J41-J43+J45+J46-J47-J49+J50+J51+J52+J53</f>
        <v>53058903</v>
      </c>
      <c r="K54" s="323">
        <f>K24+K27+K31+K35-K36+K39+K42+K45+K46-K49+K51+K52+K53</f>
        <v>67349024.821293458</v>
      </c>
      <c r="L54" s="323">
        <f>L24+L27+L31+L35-L36+L39+L42+L45+L46-L49+L51+L52+L53</f>
        <v>13192325.58153498</v>
      </c>
      <c r="M54" s="323">
        <f>M24+M27+M31+M35-M36+M39+M42+M45+M46-M49+M51+M52+M53</f>
        <v>0</v>
      </c>
      <c r="N54" s="323">
        <f>N24+N27+N31+N35-N36+N39+N42+N45+N46-N49+N51+N52+N53</f>
        <v>0</v>
      </c>
      <c r="O54" s="322">
        <f>O24+O27+O31+O35-O36+O39+O42+O45+O46-O49+O51+O52+O53</f>
        <v>0</v>
      </c>
      <c r="P54" s="322">
        <f>P23+P26-P28+P30-P32+P34-P36+P38+P41-P43+P45+P46-P47-P49+P50+P51+P52+P53</f>
        <v>18184660</v>
      </c>
      <c r="Q54" s="323">
        <f>Q24+Q27+Q31+Q35-Q36+Q39+Q42+Q45+Q46-Q49+Q51+Q52+Q53</f>
        <v>19818205.649765532</v>
      </c>
      <c r="R54" s="323">
        <f>R24+R27+R31+R35-R36+R39+R42+R45+R46-R49+R51+R52+R53</f>
        <v>3384479.0073660603</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72209.740000000005</v>
      </c>
      <c r="E55" s="323">
        <f t="shared" si="0"/>
        <v>74606.66</v>
      </c>
      <c r="F55" s="323">
        <f t="shared" si="0"/>
        <v>1910.87</v>
      </c>
      <c r="G55" s="323">
        <f t="shared" si="0"/>
        <v>0</v>
      </c>
      <c r="H55" s="323">
        <f t="shared" si="0"/>
        <v>0</v>
      </c>
      <c r="I55" s="322">
        <f t="shared" si="0"/>
        <v>74606</v>
      </c>
      <c r="J55" s="322">
        <f t="shared" si="0"/>
        <v>97506.53</v>
      </c>
      <c r="K55" s="323">
        <f t="shared" si="0"/>
        <v>114264.87316375454</v>
      </c>
      <c r="L55" s="323">
        <f t="shared" si="0"/>
        <v>19347.223517416234</v>
      </c>
      <c r="M55" s="323">
        <f t="shared" si="0"/>
        <v>0</v>
      </c>
      <c r="N55" s="323">
        <f t="shared" si="0"/>
        <v>0</v>
      </c>
      <c r="O55" s="322">
        <f t="shared" si="0"/>
        <v>0</v>
      </c>
      <c r="P55" s="322">
        <f t="shared" si="0"/>
        <v>34631.26</v>
      </c>
      <c r="Q55" s="323">
        <f t="shared" si="0"/>
        <v>43704.466836245461</v>
      </c>
      <c r="R55" s="323">
        <f t="shared" si="0"/>
        <v>6484.3264825837668</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72209.740000000005</v>
      </c>
      <c r="E56" s="319">
        <v>74606.66</v>
      </c>
      <c r="F56" s="319">
        <v>2396.92</v>
      </c>
      <c r="G56" s="319"/>
      <c r="H56" s="319"/>
      <c r="I56" s="318">
        <v>74606</v>
      </c>
      <c r="J56" s="318">
        <v>97506.53</v>
      </c>
      <c r="K56" s="319">
        <v>114264.87316375454</v>
      </c>
      <c r="L56" s="319">
        <v>19347.223517416234</v>
      </c>
      <c r="M56" s="319"/>
      <c r="N56" s="319"/>
      <c r="O56" s="318"/>
      <c r="P56" s="318">
        <v>34631.26</v>
      </c>
      <c r="Q56" s="319">
        <v>43704.466836245461</v>
      </c>
      <c r="R56" s="319">
        <v>6484.3264825837668</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104174</v>
      </c>
      <c r="E57" s="319">
        <v>106084.59</v>
      </c>
      <c r="F57" s="319">
        <v>1910.87</v>
      </c>
      <c r="G57" s="319"/>
      <c r="H57" s="319"/>
      <c r="I57" s="318">
        <v>90363</v>
      </c>
      <c r="J57" s="318">
        <v>213308</v>
      </c>
      <c r="K57" s="319">
        <v>232692.81</v>
      </c>
      <c r="L57" s="319">
        <v>19385</v>
      </c>
      <c r="M57" s="319"/>
      <c r="N57" s="319"/>
      <c r="O57" s="318"/>
      <c r="P57" s="318">
        <v>63378</v>
      </c>
      <c r="Q57" s="319">
        <v>77159.649999999994</v>
      </c>
      <c r="R57" s="319">
        <v>13782.02</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v>1201232.3700000001</v>
      </c>
      <c r="F58" s="354"/>
      <c r="G58" s="354"/>
      <c r="H58" s="354"/>
      <c r="I58" s="353">
        <v>1244562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15386013.210000001</v>
      </c>
      <c r="D5" s="403">
        <v>55267131.490000002</v>
      </c>
      <c r="E5" s="454"/>
      <c r="F5" s="454"/>
      <c r="G5" s="448"/>
      <c r="H5" s="402">
        <v>46531122.850000001</v>
      </c>
      <c r="I5" s="403">
        <v>51926467.850000001</v>
      </c>
      <c r="J5" s="454"/>
      <c r="K5" s="454"/>
      <c r="L5" s="448"/>
      <c r="M5" s="402">
        <v>12208186.640000001</v>
      </c>
      <c r="N5" s="403">
        <v>10782999.1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15370569.695156148</v>
      </c>
      <c r="D6" s="398">
        <v>55430714.616360687</v>
      </c>
      <c r="E6" s="400">
        <f>SUM('Pt 1 Summary of Data'!E$12,'Pt 1 Summary of Data'!E$22)+SUM('Pt 1 Summary of Data'!G$12,'Pt 1 Summary of Data'!G$22)-SUM('Pt 1 Summary of Data'!H$12,'Pt 1 Summary of Data'!H$22)</f>
        <v>49739280.094999999</v>
      </c>
      <c r="F6" s="400">
        <f t="shared" ref="F6:F11" si="0">SUM(C6:E6)</f>
        <v>120540564.40651684</v>
      </c>
      <c r="G6" s="401">
        <f>SUM('Pt 1 Summary of Data'!I$12,'Pt 1 Summary of Data'!I$22)</f>
        <v>54003104</v>
      </c>
      <c r="H6" s="397">
        <v>46629219.368530087</v>
      </c>
      <c r="I6" s="398">
        <v>48987461.030378543</v>
      </c>
      <c r="J6" s="400">
        <f>SUM('Pt 1 Summary of Data'!K$12,'Pt 1 Summary of Data'!K$22)+SUM('Pt 1 Summary of Data'!M$12,'Pt 1 Summary of Data'!M$22)-SUM('Pt 1 Summary of Data'!N$12,'Pt 1 Summary of Data'!N$22)</f>
        <v>67463289.694457218</v>
      </c>
      <c r="K6" s="400">
        <f>SUM(H6:J6)</f>
        <v>163079970.09336585</v>
      </c>
      <c r="L6" s="401">
        <f>SUM('Pt 1 Summary of Data'!O$12,'Pt 1 Summary of Data'!O$22)</f>
        <v>0</v>
      </c>
      <c r="M6" s="397">
        <v>12067718.064819103</v>
      </c>
      <c r="N6" s="398">
        <v>13946031.847402073</v>
      </c>
      <c r="O6" s="400">
        <f>SUM('Pt 1 Summary of Data'!Q$12,'Pt 1 Summary of Data'!Q$22)+SUM('Pt 1 Summary of Data'!S$12,'Pt 1 Summary of Data'!S$22)-SUM('Pt 1 Summary of Data'!T$12,'Pt 1 Summary of Data'!T$22)</f>
        <v>19861910.116601776</v>
      </c>
      <c r="P6" s="400">
        <f>SUM(M6:O6)</f>
        <v>45875660.028822958</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218814.84</v>
      </c>
      <c r="D7" s="398">
        <v>326211.28999999998</v>
      </c>
      <c r="E7" s="400">
        <f>SUM('Pt 1 Summary of Data'!E$37:E$41)+SUM('Pt 1 Summary of Data'!G$37:G$41)-SUM('Pt 1 Summary of Data'!H$37:H$41)+MAX(0,MIN('Pt 1 Summary of Data'!E$42+'Pt 1 Summary of Data'!G$42-'Pt 1 Summary of Data'!H$42,0.3%*('Pt 1 Summary of Data'!E$5+'Pt 1 Summary of Data'!G$5-'Pt 1 Summary of Data'!H$5-SUM(E$9:E$11))))</f>
        <v>304591.17999999993</v>
      </c>
      <c r="F7" s="400">
        <f t="shared" si="0"/>
        <v>849617.30999999994</v>
      </c>
      <c r="G7" s="401">
        <f>SUM('Pt 1 Summary of Data'!I$37:I$41)+MAX(0,MIN(VALUE('Pt 1 Summary of Data'!I$42),0.3%*('Pt 1 Summary of Data'!I$5-SUM(G$9:G$10))))</f>
        <v>304905</v>
      </c>
      <c r="H7" s="397">
        <v>974550.72</v>
      </c>
      <c r="I7" s="398">
        <v>1254028.8899999999</v>
      </c>
      <c r="J7" s="400">
        <f>SUM('Pt 1 Summary of Data'!K$37:K$41)+SUM('Pt 1 Summary of Data'!M$37:M$41)-SUM('Pt 1 Summary of Data'!N$37:N$41)+MAX(0,MIN('Pt 1 Summary of Data'!K$42+'Pt 1 Summary of Data'!M$42-'Pt 1 Summary of Data'!N$42,0.3%*('Pt 1 Summary of Data'!K$5+'Pt 1 Summary of Data'!M$5-'Pt 1 Summary of Data'!N$5-SUM(J$10:J$11))))</f>
        <v>1172103.4378052093</v>
      </c>
      <c r="K7" s="400">
        <f>SUM(H7:J7)</f>
        <v>3400683.0478052092</v>
      </c>
      <c r="L7" s="401">
        <f>SUM('Pt 1 Summary of Data'!O$37:O$41)+MAX(0,MIN(VALUE('Pt 1 Summary of Data'!O$42),0.3%*('Pt 1 Summary of Data'!O$5-L$10)))</f>
        <v>0</v>
      </c>
      <c r="M7" s="397">
        <v>291553.25</v>
      </c>
      <c r="N7" s="398">
        <v>222004.15</v>
      </c>
      <c r="O7" s="400">
        <f>SUM('Pt 1 Summary of Data'!Q$37:Q$41)+SUM('Pt 1 Summary of Data'!S$37:S$41)-SUM('Pt 1 Summary of Data'!T$37:T$41)+MAX(0,MIN('Pt 1 Summary of Data'!Q$42+'Pt 1 Summary of Data'!S$42-'Pt 1 Summary of Data'!T$42,0.3%*('Pt 1 Summary of Data'!Q$5+'Pt 1 Summary of Data'!S$5-'Pt 1 Summary of Data'!T$5)))</f>
        <v>495736.85219479084</v>
      </c>
      <c r="P7" s="400">
        <f>SUM(M7:O7)</f>
        <v>1009294.2521947909</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1844093.94</v>
      </c>
      <c r="E8" s="400">
        <f>'Pt 2 Premium and Claims'!E58+'Pt 2 Premium and Claims'!G58-'Pt 2 Premium and Claims'!H58</f>
        <v>1201232.3700000001</v>
      </c>
      <c r="F8" s="400">
        <f t="shared" si="0"/>
        <v>3045326.31</v>
      </c>
      <c r="G8" s="401">
        <f>'Pt 2 Premium and Claims'!I58</f>
        <v>1244562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8822154.9800000004</v>
      </c>
      <c r="E9" s="400">
        <f>'Pt 2 Premium and Claims'!E$15+'Pt 2 Premium and Claims'!G$15-'Pt 2 Premium and Claims'!H$15</f>
        <v>7610460.5300000003</v>
      </c>
      <c r="F9" s="400">
        <f t="shared" si="0"/>
        <v>16432615.510000002</v>
      </c>
      <c r="G9" s="401">
        <f>'Pt 2 Premium and Claims'!I$15</f>
        <v>7610461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4731745.9400000004</v>
      </c>
      <c r="E10" s="400">
        <f>'Pt 2 Premium and Claims'!E$16+'Pt 2 Premium and Claims'!G$16-'Pt 2 Premium and Claims'!H$16</f>
        <v>3955632.49</v>
      </c>
      <c r="F10" s="400">
        <f t="shared" si="0"/>
        <v>8687378.4299999997</v>
      </c>
      <c r="G10" s="401">
        <f>'Pt 2 Premium and Claims'!I$16</f>
        <v>3955632</v>
      </c>
      <c r="H10" s="443"/>
      <c r="I10" s="398">
        <v>-2841602.51</v>
      </c>
      <c r="J10" s="400">
        <f>'Pt 2 Premium and Claims'!K$16+'Pt 2 Premium and Claims'!M$16-'Pt 2 Premium and Claims'!N$16</f>
        <v>3161909.83</v>
      </c>
      <c r="K10" s="400">
        <f>SUM(H10:J10)</f>
        <v>320307.3200000003</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386603.2475</v>
      </c>
      <c r="E11" s="400">
        <f>'Pt 2 Premium and Claims'!E$17+'Pt 2 Premium and Claims'!G$17-'Pt 2 Premium and Claims'!H$17</f>
        <v>0</v>
      </c>
      <c r="F11" s="400">
        <f t="shared" si="0"/>
        <v>386603.2475</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15589384.535156148</v>
      </c>
      <c r="D12" s="400">
        <f>SUM(D$6:D$7) - SUM(D$8:D$11)+IF(AND(OR('Company Information'!$C$12="District of Columbia",'Company Information'!$C$12="Massachusetts",'Company Information'!$C$12="Vermont"),SUM($C$6:$F$11,$C$15:$F$16,$C$38:$D$38)&lt;&gt;0),SUM(I$6:I$7) - SUM(I$10:I$11),0)</f>
        <v>39972327.798860684</v>
      </c>
      <c r="E12" s="400">
        <f>SUM(E$6:E$7)-SUM(E$8:E$11)+IF(AND(OR('Company Information'!$C$12="District of Columbia",'Company Information'!$C$12="Massachusetts",'Company Information'!$C$12="Vermont"),SUM($C$6:$F$11,$C$15:$F$16,$C$38:$D$38)&lt;&gt;0),SUM(J$6:J$7)-SUM(J$10:J$11),0)</f>
        <v>37276545.884999998</v>
      </c>
      <c r="F12" s="400">
        <f>IFERROR(SUM(C$12:E$12)+C$17*MAX(0,E$50-C$50)+D$17*MAX(0,E$50-D$50),0)</f>
        <v>92838258.21901682</v>
      </c>
      <c r="G12" s="447"/>
      <c r="H12" s="399">
        <f>SUM(H$6:H$7)+IF(AND(OR('Company Information'!$C$12="District of Columbia",'Company Information'!$C$12="Massachusetts",'Company Information'!$C$12="Vermont"),SUM($H$6:$K$11,$H$15:$K$16,$H$38:$I$38)&lt;&gt;0),SUM(C$6:C$7),0)</f>
        <v>47603770.088530086</v>
      </c>
      <c r="I12" s="400">
        <f>SUM(I$6:I$7) - SUM(I$10:I$11)+IF(AND(OR('Company Information'!$C$12="District of Columbia",'Company Information'!$C$12="Massachusetts",'Company Information'!$C$12="Vermont"),SUM($H$6:$K$11,$H$15:$K$16,$H$38:$I$38)&lt;&gt;0),SUM(D$6:D$7) - SUM(D$8:D$11),0)</f>
        <v>53083092.430378541</v>
      </c>
      <c r="J12" s="400">
        <f>SUM(J$6:J$7)-SUM(J$10:J$11)+IF(AND(OR('Company Information'!$C$12="District of Columbia",'Company Information'!$C$12="Massachusetts",'Company Information'!$C$12="Vermont"),SUM($H$6:$K$11,$H$15:$K$16,$H$38:$I$38)&lt;&gt;0),SUM(E$6:E$7)-SUM(E$8:E$11),0)</f>
        <v>65473483.302262425</v>
      </c>
      <c r="K12" s="400">
        <f>IFERROR(SUM(H$12:J$12)+H$17*MAX(0,J$50-H$50)+I$17*MAX(0,J$50-I$50),0)</f>
        <v>166160345.82117105</v>
      </c>
      <c r="L12" s="447"/>
      <c r="M12" s="399">
        <f>SUM(M$6:M$7)</f>
        <v>12359271.314819103</v>
      </c>
      <c r="N12" s="400">
        <f>SUM(N$6:N$7)</f>
        <v>14168035.997402074</v>
      </c>
      <c r="O12" s="400">
        <f>SUM(O$6:O$7)</f>
        <v>20357646.968796566</v>
      </c>
      <c r="P12" s="400">
        <f>SUM(M$12:O$12)+M$17*MAX(0,O$50-M$50)+N$17*MAX(0,O$50-N$50)</f>
        <v>46884954.281017743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22146874.940000001</v>
      </c>
      <c r="D15" s="403">
        <v>47726580.159999996</v>
      </c>
      <c r="E15" s="395">
        <f>SUM('Pt 1 Summary of Data'!E$5:E$7)+SUM('Pt 1 Summary of Data'!G$5:G$7)-SUM('Pt 1 Summary of Data'!H$5:H$7)-SUM(E$9:E$11)</f>
        <v>41906724.550626904</v>
      </c>
      <c r="F15" s="395">
        <f>SUM(C15:E15)</f>
        <v>111780179.6506269</v>
      </c>
      <c r="G15" s="396">
        <f>SUM('Pt 1 Summary of Data'!I$5:I$7)-SUM(G$9:G$10)</f>
        <v>41905266</v>
      </c>
      <c r="H15" s="402">
        <v>58770118.93</v>
      </c>
      <c r="I15" s="403">
        <v>66701865.899999999</v>
      </c>
      <c r="J15" s="395">
        <f>SUM('Pt 1 Summary of Data'!K$5:K$7)+SUM('Pt 1 Summary of Data'!M$5:M$7)-SUM('Pt 1 Summary of Data'!N$5:N$7)-SUM(J$10:J$11)</f>
        <v>84326070.507225797</v>
      </c>
      <c r="K15" s="395">
        <f>SUM(H15:J15)</f>
        <v>209798055.33722579</v>
      </c>
      <c r="L15" s="396">
        <f>SUM('Pt 1 Summary of Data'!O$5:O$7)-L$10</f>
        <v>0</v>
      </c>
      <c r="M15" s="402">
        <v>15048769.76</v>
      </c>
      <c r="N15" s="403">
        <v>14267867.949999999</v>
      </c>
      <c r="O15" s="395">
        <f>SUM('Pt 1 Summary of Data'!Q$5:Q$7)+SUM('Pt 1 Summary of Data'!S$5:S$7)-SUM('Pt 1 Summary of Data'!T$5:T$7)+N$56</f>
        <v>23778494.768222101</v>
      </c>
      <c r="P15" s="395">
        <f>SUM(M15:O15)</f>
        <v>53095132.478222102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1058444.8700000001</v>
      </c>
      <c r="D16" s="398">
        <v>3198667.63</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876487.40428033134</v>
      </c>
      <c r="F16" s="400">
        <f>SUM(C16:E16)</f>
        <v>5133599.904280331</v>
      </c>
      <c r="G16" s="401">
        <f>SUM('Pt 1 Summary of Data'!I$25:I$28,'Pt 1 Summary of Data'!I$30,'Pt 1 Summary of Data'!I$34:I$35)+IF('Company Information'!$C$15="No",IF(MAX('Pt 1 Summary of Data'!I$31:I$32)=0,MIN('Pt 1 Summary of Data'!I$31:I$32),MAX('Pt 1 Summary of Data'!I$31:I$32)),SUM('Pt 1 Summary of Data'!I$31:I$32))</f>
        <v>-782895</v>
      </c>
      <c r="H16" s="397">
        <v>368039.58</v>
      </c>
      <c r="I16" s="398">
        <v>2947057.83</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3487091.9356458797</v>
      </c>
      <c r="K16" s="400">
        <f>SUM(H16:J16)</f>
        <v>6802189.3456458803</v>
      </c>
      <c r="L16" s="401">
        <f>SUM('Pt 1 Summary of Data'!O$25:O$28,'Pt 1 Summary of Data'!O$30,'Pt 1 Summary of Data'!O$34:O$35)+IF('Company Information'!$C$15="No",IF(MAX('Pt 1 Summary of Data'!O$31:O$32)=0,MIN('Pt 1 Summary of Data'!O$31:O$32),MAX('Pt 1 Summary of Data'!O$31:O$32)),SUM('Pt 1 Summary of Data'!O$31:O$32))</f>
        <v>0</v>
      </c>
      <c r="M16" s="397">
        <v>457759.06</v>
      </c>
      <c r="N16" s="398">
        <v>549684.24</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385494.27364348411</v>
      </c>
      <c r="P16" s="400">
        <f>SUM(M16:O16)</f>
        <v>1392937.5736434842</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21088430.07</v>
      </c>
      <c r="D17" s="400">
        <f>D$15-D$16+IF(AND(OR('Company Information'!$C$12="District of Columbia",'Company Information'!$C$12="Massachusetts",'Company Information'!$C$12="Vermont"),SUM($C$6:$F$11,$C$15:$F$16,$C$38:$D$38)&lt;&gt;0),I$15-I$16,0)</f>
        <v>44527912.529999994</v>
      </c>
      <c r="E17" s="400">
        <f>E$15-E$16+IF(AND(OR('Company Information'!$C$12="District of Columbia",'Company Information'!$C$12="Massachusetts",'Company Information'!$C$12="Vermont"),SUM($C$6:$F$11,$C$15:$F$16,$C$38:$D$38)&lt;&gt;0),J$15-J$16,0)</f>
        <v>41030237.146346569</v>
      </c>
      <c r="F17" s="400">
        <f>F$15-F$16+IF(AND(OR('Company Information'!$C$12="District of Columbia",'Company Information'!$C$12="Massachusetts",'Company Information'!$C$12="Vermont"),SUM($C$6:$F$11,$C$15:$F$16,$C$38:$D$38)&lt;&gt;0),K$15-K$16,0)</f>
        <v>106646579.74634656</v>
      </c>
      <c r="G17" s="450"/>
      <c r="H17" s="399">
        <f>H$15-H$16+IF(AND(OR('Company Information'!$C$12="District of Columbia",'Company Information'!$C$12="Massachusetts",'Company Information'!$C$12="Vermont"),SUM($H$6:$K$11,$H$15:$K$16,$H$38:$I$38)&lt;&gt;0),C$15-C$16,0)</f>
        <v>58402079.350000001</v>
      </c>
      <c r="I17" s="400">
        <f>I$15-I$16+IF(AND(OR('Company Information'!$C$12="District of Columbia",'Company Information'!$C$12="Massachusetts",'Company Information'!$C$12="Vermont"),SUM($H$6:$K$11,$H$15:$K$16,$H$38:$I$38)&lt;&gt;0),D$15-D$16,0)</f>
        <v>63754808.07</v>
      </c>
      <c r="J17" s="400">
        <f>J$15-J$16+IF(AND(OR('Company Information'!$C$12="District of Columbia",'Company Information'!$C$12="Massachusetts",'Company Information'!$C$12="Vermont"),SUM($H$6:$K$11,$H$15:$K$16,$H$38:$I$38)&lt;&gt;0),E$15-E$16,0)</f>
        <v>80838978.571579918</v>
      </c>
      <c r="K17" s="400">
        <f>K$15-K$16+IF(AND(OR('Company Information'!$C$12="District of Columbia",'Company Information'!$C$12="Massachusetts",'Company Information'!$C$12="Vermont"),SUM($H$6:$K$11,$H$15:$K$16,$H$38:$I$38)&lt;&gt;0),F$15-F$16,0)</f>
        <v>202995865.99157992</v>
      </c>
      <c r="L17" s="450"/>
      <c r="M17" s="399">
        <f>M$15-M$16</f>
        <v>14591010.699999999</v>
      </c>
      <c r="N17" s="400">
        <f>N$15-N$16</f>
        <v>13718183.709999999</v>
      </c>
      <c r="O17" s="400">
        <f>O$15-O$16</f>
        <v>23393000.494578619</v>
      </c>
      <c r="P17" s="400">
        <f>P$15-P$16</f>
        <v>51702194.904578619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41373879</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5729142</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2134408.0500000003</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-4414860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2134408.0500000003</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1280644.8299999998</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7080655.0500000007</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7080655.0500000007</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8608500.4199999999</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34824610.950000003</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6226891.8300000001</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1280644.8299999998</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6226891.8300000001</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7754737.2000000011</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35678374.170000002</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1.159634651592085</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3164947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2329337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12053</v>
      </c>
      <c r="D38" s="405">
        <v>17162.419999999998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11562.583333333334</v>
      </c>
      <c r="F38" s="432">
        <f>SUM(C$38:E$38)+IF(AND(OR('Company Information'!$C$12="District of Columbia",'Company Information'!$C$12="Massachusetts",'Company Information'!$C$12="Vermont"),SUM($C$6:$F$11,$C$15:$F$16,$C$38:$D$38)&lt;&gt;0,SUM(C$38:D$38)&lt;&gt;SUM(H$38:I$38)),SUM(H$38:I$38),0)</f>
        <v>40778.003333333334</v>
      </c>
      <c r="G38" s="448"/>
      <c r="H38" s="404">
        <v>13372</v>
      </c>
      <c r="I38" s="405">
        <v>14487.83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17944.916666666668</v>
      </c>
      <c r="K38" s="432">
        <f>SUM(H$38:J$38)+IF(AND(OR('Company Information'!$C$12="District of Columbia",'Company Information'!$C$12="Massachusetts",'Company Information'!$C$12="Vermont"),SUM($H$6:$K$11,$H$15:$K$16,$H$38:$I$38)&lt;&gt;0,SUM(H$38:I$38)&lt;&gt;SUM(C$38:D$38)),SUM(C$38:D$38),0)</f>
        <v>45804.746666666673</v>
      </c>
      <c r="L38" s="448"/>
      <c r="M38" s="404">
        <v>3873</v>
      </c>
      <c r="N38" s="405">
        <v>3604.83</v>
      </c>
      <c r="O38" s="432">
        <f>('Pt 1 Summary of Data'!Q$59+'Pt 1 Summary of Data'!S$59-'Pt 1 Summary of Data'!T$59)/12</f>
        <v>6240.25</v>
      </c>
      <c r="P38" s="432">
        <f>SUM(M$38:O$38)</f>
        <v>13718.08</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1.3475519466666667E-2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1.2671240533333333E-2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2.3521279999999999E-2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9806</v>
      </c>
      <c r="G40" s="447"/>
      <c r="H40" s="443"/>
      <c r="I40" s="441"/>
      <c r="J40" s="441"/>
      <c r="K40" s="398">
        <v>2300</v>
      </c>
      <c r="L40" s="447"/>
      <c r="M40" s="443"/>
      <c r="N40" s="441"/>
      <c r="O40" s="441"/>
      <c r="P40" s="398">
        <v>2435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1.7230407999999999</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2.3218869842260906E-2</v>
      </c>
      <c r="G42" s="447"/>
      <c r="H42" s="443"/>
      <c r="I42" s="441"/>
      <c r="J42" s="441"/>
      <c r="K42" s="436">
        <f ca="1">IF(OR(K$38&lt;1000,K$38&gt;=75000),0,K$39*K$41)</f>
        <v>1.2671240533333333E-2</v>
      </c>
      <c r="L42" s="447"/>
      <c r="M42" s="443"/>
      <c r="N42" s="441"/>
      <c r="O42" s="441"/>
      <c r="P42" s="436">
        <f ca="1">IF(OR(P$38&lt;1000,P$38&gt;=75000),0,P$39*P$41)</f>
        <v>2.3521279999999999E-2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0.73923874292251412</v>
      </c>
      <c r="D45" s="436">
        <f>IF(OR(D$38&lt;1000,D$17&lt;=0),"",D$12/D$17)</f>
        <v>0.89769148221197081</v>
      </c>
      <c r="E45" s="436">
        <f>IF(OR(E$38&lt;1000,E$17&lt;=0),"",E$12/E$17)</f>
        <v>0.90851402471894294</v>
      </c>
      <c r="F45" s="436">
        <f>IF(OR(F$38&lt;1000,F$17&lt;=0),"",F$12/F$17)</f>
        <v>0.87052260316109409</v>
      </c>
      <c r="G45" s="447"/>
      <c r="H45" s="438">
        <f>IF(OR(H$38&lt;1000,H$17&lt;=0),"",H$12/H$17)</f>
        <v>0.81510402743100419</v>
      </c>
      <c r="I45" s="436">
        <f>IF(OR(I$38&lt;1000,I$17&lt;=0),"",I$12/I$17)</f>
        <v>0.83261316341970038</v>
      </c>
      <c r="J45" s="436">
        <f>IF(OR(J$38&lt;1000,J$17&lt;=0),"",J$12/J$17)</f>
        <v>0.80992467321056116</v>
      </c>
      <c r="K45" s="436">
        <f>IF(OR(K$38&lt;1000,K$17&lt;=0),"",K$12/K$17)</f>
        <v>0.81854054026924483</v>
      </c>
      <c r="L45" s="447"/>
      <c r="M45" s="438">
        <f>IF(OR(M$38&lt;1000,M$17&lt;=0),"",M$12/M$17)</f>
        <v>0.84704696397893142</v>
      </c>
      <c r="N45" s="436">
        <f>IF(OR(N$38&lt;1000,N$17&lt;=0),"",N$12/N$17)</f>
        <v>1.0327924087409728</v>
      </c>
      <c r="O45" s="436">
        <f>IF(OR(O$38&lt;1000,O$17&lt;=0),"",O$12/O$17)</f>
        <v>0.87024522457110609</v>
      </c>
      <c r="P45" s="436">
        <f>IF(OR(P$38&lt;1000,P$17&lt;=0),"",P$12/P$17)</f>
        <v>0.90682715438964323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2.3218869842260906E-2</v>
      </c>
      <c r="G47" s="447"/>
      <c r="H47" s="443"/>
      <c r="I47" s="441"/>
      <c r="J47" s="441"/>
      <c r="K47" s="436">
        <f ca="1">IF(K$45="","",K$42)</f>
        <v>1.2671240533333333E-2</v>
      </c>
      <c r="L47" s="447"/>
      <c r="M47" s="443"/>
      <c r="N47" s="441"/>
      <c r="O47" s="441"/>
      <c r="P47" s="436">
        <f ca="1">IF(P$45="","",P$42)</f>
        <v>2.3521279999999999E-2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0.89400000000000002</v>
      </c>
      <c r="G48" s="447"/>
      <c r="H48" s="443"/>
      <c r="I48" s="441"/>
      <c r="J48" s="441"/>
      <c r="K48" s="436">
        <f ca="1">IF(K$45="","",ROUND(K$45+MAX(0,K$47),3))</f>
        <v>0.83099999999999996</v>
      </c>
      <c r="L48" s="447"/>
      <c r="M48" s="443"/>
      <c r="N48" s="441"/>
      <c r="O48" s="441"/>
      <c r="P48" s="436">
        <f ca="1">IF(P$45="","",ROUND(P$45+MAX(0,P$47),3))</f>
        <v>0.93</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0.89400000000000002</v>
      </c>
      <c r="G51" s="447"/>
      <c r="H51" s="444"/>
      <c r="I51" s="442"/>
      <c r="J51" s="442"/>
      <c r="K51" s="436">
        <f ca="1">K$48</f>
        <v>0.83099999999999996</v>
      </c>
      <c r="L51" s="447"/>
      <c r="M51" s="444"/>
      <c r="N51" s="442"/>
      <c r="O51" s="442"/>
      <c r="P51" s="436">
        <f ca="1">P$48</f>
        <v>0.93</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41030237.146346569</v>
      </c>
      <c r="G52" s="447"/>
      <c r="H52" s="443"/>
      <c r="I52" s="441"/>
      <c r="J52" s="441"/>
      <c r="K52" s="400">
        <f>IF(K$38&lt;1000,"",MAX(0,J$15-J$16))</f>
        <v>80838978.571579918</v>
      </c>
      <c r="L52" s="447"/>
      <c r="M52" s="443"/>
      <c r="N52" s="441"/>
      <c r="O52" s="441"/>
      <c r="P52" s="400">
        <f>IF(P$38&lt;1000,"",MAX(0,O$15-O$16))</f>
        <v>23393000.494578619</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 ca="1">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-123475</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42650635</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42527160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6756</v>
      </c>
      <c r="D4" s="104">
        <f>'Pt 1 Summary of Data'!$K$56+'Pt 1 Summary of Data'!$M$56-'Pt 1 Summary of Data'!$N$56</f>
        <v>10788</v>
      </c>
      <c r="E4" s="104">
        <f>'Pt 1 Summary of Data'!$Q$56+'Pt 1 Summary of Data'!$S$56-'Pt 1 Summary of Data'!$T$56</f>
        <v>3241</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123463.65</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v>5419.48</v>
      </c>
      <c r="F22" s="127"/>
      <c r="G22" s="127"/>
      <c r="H22" s="127"/>
      <c r="I22" s="181"/>
      <c r="J22" s="181"/>
      <c r="K22" s="200"/>
    </row>
    <row r="23" spans="2:12" s="5" customFormat="1" ht="100.15" customHeight="1" x14ac:dyDescent="0.2">
      <c r="B23" s="91" t="s">
        <v>212</v>
      </c>
      <c r="C23" s="483" t="s">
        <v>508</v>
      </c>
      <c r="D23" s="484"/>
      <c r="E23" s="484"/>
      <c r="F23" s="484"/>
      <c r="G23" s="484"/>
      <c r="H23" s="484"/>
      <c r="I23" s="484"/>
      <c r="J23" s="484"/>
      <c r="K23" s="485"/>
    </row>
    <row r="24" spans="2:12" s="5" customFormat="1" ht="100.15" customHeight="1" x14ac:dyDescent="0.2">
      <c r="B24" s="90" t="s">
        <v>213</v>
      </c>
      <c r="C24" s="486" t="s">
        <v>509</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