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AB39" i="10"/>
  <c r="X39" i="10"/>
  <c r="T39" i="10"/>
  <c r="P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U13" i="10" s="1"/>
  <c r="T16" i="10"/>
  <c r="S16" i="10"/>
  <c r="S13" i="10" s="1"/>
  <c r="P16" i="10"/>
  <c r="O16" i="10"/>
  <c r="L16" i="10"/>
  <c r="K16" i="10"/>
  <c r="J16" i="10"/>
  <c r="G16" i="10"/>
  <c r="F16" i="10"/>
  <c r="E16" i="10"/>
  <c r="AN15" i="10"/>
  <c r="AM15" i="10"/>
  <c r="AB15" i="10"/>
  <c r="AA15" i="10"/>
  <c r="X15" i="10"/>
  <c r="W15" i="10"/>
  <c r="T15" i="10"/>
  <c r="Q13" i="10" s="1"/>
  <c r="S15" i="10"/>
  <c r="P15" i="10"/>
  <c r="O15" i="10"/>
  <c r="L15" i="10"/>
  <c r="AN13" i="10"/>
  <c r="AM13" i="10"/>
  <c r="AL13" i="10"/>
  <c r="AK13" i="10"/>
  <c r="AB13" i="10"/>
  <c r="AA13" i="10"/>
  <c r="Z13" i="10"/>
  <c r="Y13" i="10"/>
  <c r="W13" i="10"/>
  <c r="R13" i="10"/>
  <c r="P12" i="10"/>
  <c r="P45" i="10" s="1"/>
  <c r="O12" i="10"/>
  <c r="N12" i="10"/>
  <c r="M12" i="10"/>
  <c r="K11" i="10"/>
  <c r="J11" i="10"/>
  <c r="E11" i="10"/>
  <c r="F11" i="10" s="1"/>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S55" i="18"/>
  <c r="AS22" i="4" s="1"/>
  <c r="AR55" i="18"/>
  <c r="AQ55" i="18"/>
  <c r="AP55" i="18"/>
  <c r="AP22" i="4" s="1"/>
  <c r="AO55" i="18"/>
  <c r="AN55" i="18"/>
  <c r="AC55" i="18"/>
  <c r="AB55" i="18"/>
  <c r="AA55" i="18"/>
  <c r="AA22" i="4" s="1"/>
  <c r="Z55" i="18"/>
  <c r="Z22" i="4" s="1"/>
  <c r="Y55" i="18"/>
  <c r="Y22" i="4" s="1"/>
  <c r="X55" i="18"/>
  <c r="X22" i="4" s="1"/>
  <c r="W55" i="18"/>
  <c r="W22" i="4" s="1"/>
  <c r="V55" i="18"/>
  <c r="V22" i="4" s="1"/>
  <c r="U55" i="18"/>
  <c r="U22" i="4" s="1"/>
  <c r="T55" i="18"/>
  <c r="T22" i="4" s="1"/>
  <c r="S55" i="18"/>
  <c r="R55" i="18"/>
  <c r="R22" i="4" s="1"/>
  <c r="Q55" i="18"/>
  <c r="Q22" i="4" s="1"/>
  <c r="P55" i="18"/>
  <c r="P22" i="4" s="1"/>
  <c r="O55" i="18"/>
  <c r="N55" i="18"/>
  <c r="M55" i="18"/>
  <c r="L55" i="18"/>
  <c r="K55" i="18"/>
  <c r="K22" i="4" s="1"/>
  <c r="J55" i="18"/>
  <c r="I55" i="18"/>
  <c r="I22" i="4" s="1"/>
  <c r="H55" i="18"/>
  <c r="H22" i="4" s="1"/>
  <c r="G55" i="18"/>
  <c r="G22" i="4" s="1"/>
  <c r="F55" i="18"/>
  <c r="F22" i="4" s="1"/>
  <c r="E55" i="18"/>
  <c r="E22" i="4" s="1"/>
  <c r="D55" i="18"/>
  <c r="AU54" i="18"/>
  <c r="AU12" i="4" s="1"/>
  <c r="AT54" i="18"/>
  <c r="AS54" i="18"/>
  <c r="AR54" i="18"/>
  <c r="AQ54" i="18"/>
  <c r="AP54" i="18"/>
  <c r="AP12" i="4" s="1"/>
  <c r="AO54" i="18"/>
  <c r="AN54" i="18"/>
  <c r="AN12" i="4" s="1"/>
  <c r="AC54" i="18"/>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N54" i="18"/>
  <c r="N12" i="4" s="1"/>
  <c r="M54" i="18"/>
  <c r="L54" i="18"/>
  <c r="L12" i="4" s="1"/>
  <c r="K54" i="18"/>
  <c r="K12" i="4" s="1"/>
  <c r="J54" i="18"/>
  <c r="I54" i="18"/>
  <c r="H54" i="18"/>
  <c r="G54" i="18"/>
  <c r="G12" i="4" s="1"/>
  <c r="F54" i="18"/>
  <c r="F12" i="4" s="1"/>
  <c r="E54" i="18"/>
  <c r="E12" i="4" s="1"/>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R22" i="4"/>
  <c r="AQ22" i="4"/>
  <c r="AO22" i="4"/>
  <c r="AN22" i="4"/>
  <c r="AC22" i="4"/>
  <c r="AB22" i="4"/>
  <c r="S22" i="4"/>
  <c r="O22" i="4"/>
  <c r="N22" i="4"/>
  <c r="M22" i="4"/>
  <c r="L22" i="4"/>
  <c r="J22" i="4"/>
  <c r="D22" i="4"/>
  <c r="AT12" i="4"/>
  <c r="AS12" i="4"/>
  <c r="AR12" i="4"/>
  <c r="AQ12" i="4"/>
  <c r="AO12" i="4"/>
  <c r="AC12" i="4"/>
  <c r="X12" i="4"/>
  <c r="S12" i="4"/>
  <c r="O12" i="4"/>
  <c r="M12" i="4"/>
  <c r="J12" i="4"/>
  <c r="I12" i="4"/>
  <c r="H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G15" i="10" l="1"/>
  <c r="L30" i="10"/>
  <c r="L31" i="10" s="1"/>
  <c r="E15" i="10"/>
  <c r="F15" i="10" s="1"/>
  <c r="J7" i="10"/>
  <c r="K7" i="10" s="1"/>
  <c r="E7" i="10"/>
  <c r="F7" i="10" s="1"/>
  <c r="J15" i="10"/>
  <c r="G7" i="10"/>
  <c r="P48" i="10"/>
  <c r="P51" i="10" s="1"/>
  <c r="P53" i="10" s="1"/>
  <c r="E11" i="16" s="1"/>
  <c r="P47" i="10"/>
  <c r="L29" i="10"/>
  <c r="L33" i="10" s="1"/>
  <c r="L34" i="10" s="1"/>
  <c r="L21" i="10"/>
  <c r="L26" i="10" s="1"/>
  <c r="L25" i="10" s="1"/>
  <c r="L28" i="10" s="1"/>
  <c r="T13" i="10"/>
  <c r="X13" i="10"/>
  <c r="V13" i="10"/>
  <c r="G24" i="10" l="1"/>
  <c r="F17" i="10"/>
  <c r="D12" i="10"/>
  <c r="E12" i="10"/>
  <c r="E38" i="10"/>
  <c r="G19" i="10"/>
  <c r="G20" i="10"/>
  <c r="G32" i="10"/>
  <c r="D17" i="10"/>
  <c r="K15" i="10"/>
  <c r="G23" i="10"/>
  <c r="C12" i="10"/>
  <c r="C17" i="10"/>
  <c r="E17" i="10"/>
  <c r="I12" i="10"/>
  <c r="G27" i="10"/>
  <c r="C45" i="10" l="1"/>
  <c r="D45" i="10"/>
  <c r="K17" i="10"/>
  <c r="H17" i="10"/>
  <c r="F12" i="10"/>
  <c r="I17" i="10"/>
  <c r="I45" i="10" s="1"/>
  <c r="G22" i="10"/>
  <c r="H12" i="10"/>
  <c r="E45" i="10"/>
  <c r="F38" i="10"/>
  <c r="J17" i="10"/>
  <c r="J38" i="10"/>
  <c r="J12" i="10"/>
  <c r="F52" i="10" l="1"/>
  <c r="F42" i="10"/>
  <c r="F39" i="10"/>
  <c r="F45" i="10"/>
  <c r="J45" i="10"/>
  <c r="K38" i="10"/>
  <c r="H45" i="10"/>
  <c r="K12" i="10"/>
  <c r="G30" i="10"/>
  <c r="G31" i="10" s="1"/>
  <c r="G29" i="10" s="1"/>
  <c r="G33" i="10" s="1"/>
  <c r="G34" i="10" s="1"/>
  <c r="G21" i="10"/>
  <c r="G26" i="10" s="1"/>
  <c r="G25" i="10" s="1"/>
  <c r="G28" i="10" s="1"/>
  <c r="K45" i="10" l="1"/>
  <c r="F47" i="10"/>
  <c r="F48" i="10" s="1"/>
  <c r="F51" i="10" s="1"/>
  <c r="F53" i="10" s="1"/>
  <c r="C11" i="16" s="1"/>
  <c r="K39" i="10"/>
  <c r="K52" i="10"/>
  <c r="K42" i="10"/>
  <c r="K47" i="10" s="1"/>
  <c r="K48" i="10" s="1"/>
  <c r="K51" i="10" s="1"/>
  <c r="K53" i="10" l="1"/>
  <c r="D11" i="16" s="1"/>
</calcChain>
</file>

<file path=xl/sharedStrings.xml><?xml version="1.0" encoding="utf-8"?>
<sst xmlns="http://schemas.openxmlformats.org/spreadsheetml/2006/main" count="638" uniqueCount="538">
  <si>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</si>
  <si>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</si>
  <si>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</si>
  <si>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</si>
  <si>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</si>
  <si>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</si>
  <si>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</si>
  <si>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</si>
  <si>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</si>
  <si>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</si>
  <si>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</si>
  <si>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</si>
  <si>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</si>
  <si>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</si>
  <si>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</si>
  <si>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</si>
  <si>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</si>
  <si>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</si>
  <si>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</si>
  <si>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</si>
  <si>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</si>
  <si>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</si>
  <si>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</si>
  <si>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</si>
  <si>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</si>
  <si>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</si>
  <si>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</si>
  <si>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</si>
  <si>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</si>
  <si>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</si>
  <si>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</si>
  <si>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</si>
  <si>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</si>
  <si>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</si>
  <si>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</si>
  <si>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</si>
  <si>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</si>
  <si>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</si>
  <si>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</si>
  <si>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</si>
  <si>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</si>
  <si>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</si>
  <si>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</si>
  <si>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</si>
  <si>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</si>
  <si>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</si>
  <si>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</si>
  <si>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</si>
  <si>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</si>
  <si>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</si>
  <si>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</si>
  <si>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</si>
  <si>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</si>
  <si>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</si>
  <si>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</si>
  <si>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</si>
  <si>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</si>
  <si>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</si>
  <si>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</si>
  <si>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</si>
  <si>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</si>
  <si>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</si>
  <si>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</si>
  <si>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</si>
  <si>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</si>
  <si>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</si>
  <si>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</si>
  <si>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</si>
  <si>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</si>
  <si>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</si>
  <si>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</si>
  <si>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</si>
  <si>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</si>
  <si>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</si>
  <si>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</si>
  <si>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</si>
  <si>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</si>
  <si>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</si>
  <si>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</si>
  <si>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</si>
  <si>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</si>
  <si>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</si>
  <si>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</si>
  <si>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</si>
  <si>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</si>
  <si>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</si>
  <si>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</si>
  <si>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</si>
  <si>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</si>
  <si>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</si>
  <si>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</si>
  <si>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</si>
  <si>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</si>
  <si>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</si>
  <si>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</si>
  <si>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</si>
  <si>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</si>
  <si>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</si>
  <si>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</si>
  <si>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</si>
  <si>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</si>
  <si>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</si>
  <si>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</si>
  <si>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</si>
  <si>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</si>
  <si>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</si>
  <si>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</si>
  <si>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</si>
  <si>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</si>
  <si>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</si>
  <si>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</si>
  <si>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</si>
  <si>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</si>
  <si>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</si>
  <si>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</si>
  <si>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</si>
  <si>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</si>
  <si>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</si>
  <si>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</si>
  <si>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</si>
  <si>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</si>
  <si>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</si>
  <si>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</si>
  <si>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</si>
  <si>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</si>
  <si>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</si>
  <si>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</si>
  <si>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</si>
  <si>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</si>
  <si>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</si>
  <si>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</si>
  <si>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</si>
  <si>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</si>
  <si>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</si>
  <si>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</si>
  <si>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</si>
  <si>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</si>
  <si>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</si>
  <si>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</si>
  <si>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</si>
  <si>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</si>
  <si>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</si>
  <si>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</si>
  <si>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</si>
  <si>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</si>
  <si>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</si>
  <si>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</si>
  <si>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</si>
  <si>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</si>
  <si>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</si>
  <si>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</si>
  <si>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</si>
  <si>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</si>
  <si>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</si>
  <si>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</si>
  <si>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</si>
  <si>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</si>
  <si>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</si>
  <si>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</si>
  <si>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</si>
  <si>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</si>
  <si>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</si>
  <si>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</si>
  <si>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</si>
  <si>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</si>
  <si>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</si>
  <si>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</si>
  <si>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</si>
  <si>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</si>
  <si>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</si>
  <si>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</si>
  <si>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</si>
  <si>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</si>
  <si>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</si>
  <si>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</si>
  <si>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</si>
  <si>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</si>
  <si>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</si>
  <si>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</si>
  <si>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</si>
  <si>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</si>
  <si>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</si>
  <si>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</si>
  <si>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</si>
  <si>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</si>
  <si>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</si>
  <si>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</si>
  <si>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</si>
  <si>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</si>
  <si>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</si>
  <si>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</si>
  <si>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</si>
  <si>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</si>
  <si>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</si>
  <si>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</si>
  <si>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</si>
  <si>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</si>
  <si>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</si>
  <si>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</si>
  <si>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</si>
  <si>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</si>
  <si>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</si>
  <si>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</si>
  <si>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</si>
  <si>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</si>
  <si>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</si>
  <si>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</si>
  <si>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</si>
  <si>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</si>
  <si>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</si>
  <si>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</si>
  <si>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</si>
  <si>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</si>
  <si>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</si>
  <si>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</si>
  <si>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</si>
  <si>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</si>
  <si>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</si>
  <si>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</si>
  <si>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</si>
  <si>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</si>
  <si>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</si>
  <si>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</si>
  <si>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</si>
  <si>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</si>
  <si>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</si>
  <si>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</si>
  <si>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</si>
  <si>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</si>
  <si>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</si>
  <si>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</si>
  <si>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</si>
  <si>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</si>
  <si>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</si>
  <si>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</si>
  <si>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</si>
  <si>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</si>
  <si>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</si>
  <si>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</si>
  <si>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</si>
  <si>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</si>
  <si>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</si>
  <si>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</si>
  <si>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</si>
  <si>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</si>
  <si>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</si>
  <si>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</si>
  <si>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</si>
  <si>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</si>
  <si>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</si>
  <si>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</si>
  <si>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</si>
  <si>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</si>
  <si>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</si>
  <si>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</si>
  <si>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</si>
  <si>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</si>
  <si>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</si>
  <si>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</si>
  <si>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</si>
  <si>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</si>
  <si>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</si>
  <si>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</si>
  <si>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</si>
  <si>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</si>
  <si>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</si>
  <si>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</si>
  <si>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</si>
  <si>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</si>
  <si>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</si>
  <si>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</si>
  <si>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</si>
  <si>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</si>
  <si>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</si>
  <si>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</si>
  <si>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</si>
  <si>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</si>
  <si>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</si>
  <si>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</si>
  <si>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</si>
  <si>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</si>
  <si>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</si>
  <si>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</si>
  <si>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</si>
  <si>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</si>
  <si>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</si>
  <si>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</si>
  <si>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</si>
  <si>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</si>
  <si>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</si>
  <si>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</si>
  <si>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</si>
  <si>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</si>
  <si>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</si>
  <si>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</si>
  <si>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</si>
  <si>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</si>
  <si>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</si>
  <si>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</si>
  <si>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</si>
  <si>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</si>
  <si>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</si>
  <si>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</si>
  <si>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</si>
  <si>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</si>
  <si>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</si>
  <si>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</si>
  <si>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</si>
  <si>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</si>
  <si>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</si>
  <si>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</si>
  <si>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</si>
  <si>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</si>
  <si>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</si>
  <si>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</si>
  <si>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</si>
  <si>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</si>
  <si>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</si>
  <si>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</si>
  <si>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</si>
  <si>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</si>
  <si>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</si>
  <si>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</si>
  <si>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</si>
  <si>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</si>
  <si>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</si>
  <si>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</si>
  <si>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</si>
  <si>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</si>
  <si>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</si>
  <si>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</si>
  <si>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</si>
  <si>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</si>
  <si>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</si>
  <si>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</si>
  <si>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</si>
  <si>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</si>
  <si>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</si>
  <si>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</si>
  <si>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</si>
  <si>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</si>
  <si>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</si>
  <si>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</si>
  <si>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</si>
  <si>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</si>
  <si>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</si>
  <si>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</si>
  <si>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</si>
  <si>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</si>
  <si>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</si>
  <si>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</si>
  <si>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</si>
  <si>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</si>
  <si>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</si>
  <si>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</si>
  <si>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</si>
  <si>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</si>
  <si>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</si>
  <si>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</si>
  <si>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</si>
  <si>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</si>
  <si>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</si>
  <si>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</si>
  <si>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</si>
  <si>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</si>
  <si>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</si>
  <si>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</si>
  <si>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</si>
  <si>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</si>
  <si>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</si>
  <si>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</si>
  <si>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</si>
  <si>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</si>
  <si>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</si>
  <si>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</si>
  <si>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</si>
  <si>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</si>
  <si>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</si>
  <si>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</si>
  <si>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</si>
  <si>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</si>
  <si>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</si>
  <si>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</si>
  <si>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</si>
  <si>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</si>
  <si>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</si>
  <si>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</si>
  <si>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</si>
  <si>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</si>
  <si>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</si>
  <si>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</si>
  <si>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</si>
  <si>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</si>
  <si>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</si>
  <si>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</si>
  <si>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</si>
  <si>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</si>
  <si>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</si>
  <si>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</si>
  <si>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</si>
  <si>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</si>
  <si>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</si>
  <si>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</si>
  <si>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</si>
  <si>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</si>
  <si>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</si>
  <si>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</si>
  <si>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</si>
  <si>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</si>
  <si>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</si>
  <si>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</si>
  <si>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</si>
  <si>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</si>
  <si>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</si>
  <si>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</si>
  <si>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</si>
  <si>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</si>
  <si>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</si>
  <si>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</si>
  <si>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</si>
  <si>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</si>
  <si>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</si>
  <si>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</si>
  <si>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</si>
  <si>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</si>
  <si>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</si>
  <si>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</si>
  <si>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</si>
  <si>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</si>
  <si>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</si>
  <si>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</si>
  <si>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</si>
  <si>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</si>
  <si>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</si>
  <si>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</si>
  <si>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</si>
  <si>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</si>
  <si>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</si>
  <si>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</si>
  <si>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</si>
  <si>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</si>
  <si>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</si>
  <si>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</si>
  <si>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</si>
  <si>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</si>
  <si>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</si>
  <si>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</si>
  <si>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</si>
  <si>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</si>
  <si>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</si>
  <si>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</si>
  <si>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</si>
  <si>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</si>
  <si>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</si>
  <si>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</si>
  <si>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</si>
  <si>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</si>
  <si>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</si>
  <si>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</si>
  <si>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</si>
  <si>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</si>
  <si>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</si>
  <si>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</si>
  <si>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</si>
  <si>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</si>
  <si>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</si>
  <si>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</si>
  <si>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</si>
  <si>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</si>
  <si>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</si>
  <si>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</si>
  <si>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</si>
  <si>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</si>
  <si>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</si>
  <si>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</si>
  <si>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</si>
  <si>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</si>
  <si>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</si>
  <si>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</si>
  <si>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</si>
  <si>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</si>
  <si>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</si>
  <si>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</si>
  <si>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</si>
  <si>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</si>
  <si>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</si>
  <si>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</si>
  <si>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</si>
  <si>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</si>
  <si>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</si>
  <si>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</si>
  <si>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</si>
  <si>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</si>
  <si>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</si>
  <si>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</si>
  <si>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</si>
  <si>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</si>
  <si>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</si>
  <si>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</si>
  <si>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</si>
  <si>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</si>
  <si>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</si>
  <si>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</si>
  <si>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</si>
  <si>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</si>
  <si>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215</t>
  </si>
  <si>
    <t>Humana Employers Health Plan of Georgia, Inc.</t>
  </si>
  <si>
    <t>Humana Health Plan of Ohio, Inc.</t>
  </si>
  <si>
    <t>Humana Health Plan of Texas, Inc.</t>
  </si>
  <si>
    <t>Humana Insurance Company</t>
  </si>
  <si>
    <t>Humana Insurance Company of Kentucky</t>
  </si>
  <si>
    <t>Humana Insurance of Puerto Rico, Inc.</t>
  </si>
  <si>
    <t>Humana Medical Plan, Inc.</t>
  </si>
  <si>
    <t>Emphesys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</si>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</sst>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108608321</v>
      </c>
      <c r="E5" s="213">
        <f>SUM('Pt 2 Premium and Claims'!E$5,'Pt 2 Premium and Claims'!E$6,-'Pt 2 Premium and Claims'!E$7,-'Pt 2 Premium and Claims'!E$13,'Pt 2 Premium and Claims'!E$14:'Pt 2 Premium and Claims'!E$17)</f>
        <v>127452557.66</v>
      </c>
      <c r="F5" s="213">
        <f>SUM('Pt 2 Premium and Claims'!F$5,'Pt 2 Premium and Claims'!F$6,-'Pt 2 Premium and Claims'!F$7,-'Pt 2 Premium and Claims'!F$13,'Pt 2 Premium and Claims'!F$14:'Pt 2 Premium and Claims'!F$17)</f>
        <v>1564774.36</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115870661</v>
      </c>
      <c r="J5" s="212">
        <f>SUM('Pt 2 Premium and Claims'!J$5,'Pt 2 Premium and Claims'!J$6,-'Pt 2 Premium and Claims'!J$7,-'Pt 2 Premium and Claims'!J$13,'Pt 2 Premium and Claims'!J$14,'Pt 2 Premium and Claims'!J$16:'Pt 2 Premium and Claims'!J$17)</f>
        <v>383906423</v>
      </c>
      <c r="K5" s="213">
        <f>SUM('Pt 2 Premium and Claims'!K$5,'Pt 2 Premium and Claims'!K$6,-'Pt 2 Premium and Claims'!K$7,-'Pt 2 Premium and Claims'!K$13,'Pt 2 Premium and Claims'!K$14,'Pt 2 Premium and Claims'!K$16:'Pt 2 Premium and Claims'!K$17)</f>
        <v>406119947.63</v>
      </c>
      <c r="L5" s="213">
        <f>SUM('Pt 2 Premium and Claims'!L$5,'Pt 2 Premium and Claims'!L$6,-'Pt 2 Premium and Claims'!L$7,-'Pt 2 Premium and Claims'!L$13,'Pt 2 Premium and Claims'!L$14,'Pt 2 Premium and Claims'!L$16:'Pt 2 Premium and Claims'!L$17)</f>
        <v>29301589.219999999</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504515199</v>
      </c>
      <c r="Q5" s="213">
        <f>SUM('Pt 2 Premium and Claims'!Q$5,'Pt 2 Premium and Claims'!Q$6,-'Pt 2 Premium and Claims'!Q$7,-'Pt 2 Premium and Claims'!Q$13,'Pt 2 Premium and Claims'!Q$14)</f>
        <v>534572030.50999999</v>
      </c>
      <c r="R5" s="213">
        <f>SUM('Pt 2 Premium and Claims'!R$5,'Pt 2 Premium and Claims'!R$6,-'Pt 2 Premium and Claims'!R$7,-'Pt 2 Premium and Claims'!R$13,'Pt 2 Premium and Claims'!R$14)</f>
        <v>19115900.309999999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1057944690</v>
      </c>
      <c r="AT5" s="214">
        <f>SUM('Pt 2 Premium and Claims'!AT$5,'Pt 2 Premium and Claims'!AT$6,-'Pt 2 Premium and Claims'!AT$7,-'Pt 2 Premium and Claims'!AT$13,'Pt 2 Premium and Claims'!AT$14)</f>
        <v>99216</v>
      </c>
      <c r="AU5" s="214">
        <f>SUM('Pt 2 Premium and Claims'!AU$5,'Pt 2 Premium and Claims'!AU$6,-'Pt 2 Premium and Claims'!AU$7,-'Pt 2 Premium and Claims'!AU$13,'Pt 2 Premium and Claims'!AU$14)</f>
        <v>4493951546</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385</v>
      </c>
      <c r="E7" s="217">
        <v>116.65</v>
      </c>
      <c r="F7" s="217">
        <v>-268.04000000000002</v>
      </c>
      <c r="G7" s="217"/>
      <c r="H7" s="217"/>
      <c r="I7" s="216">
        <v>0</v>
      </c>
      <c r="J7" s="216">
        <v>15529</v>
      </c>
      <c r="K7" s="217">
        <v>-1440.31</v>
      </c>
      <c r="L7" s="217">
        <v>-16969.04</v>
      </c>
      <c r="M7" s="217"/>
      <c r="N7" s="217"/>
      <c r="O7" s="216"/>
      <c r="P7" s="216">
        <v>120460</v>
      </c>
      <c r="Q7" s="217">
        <v>19702.669999999998</v>
      </c>
      <c r="R7" s="217">
        <v>-101576.16</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-1065805</v>
      </c>
      <c r="E8" s="268"/>
      <c r="F8" s="269"/>
      <c r="G8" s="269"/>
      <c r="H8" s="269"/>
      <c r="I8" s="272"/>
      <c r="J8" s="216">
        <v>-707493</v>
      </c>
      <c r="K8" s="268"/>
      <c r="L8" s="269"/>
      <c r="M8" s="269"/>
      <c r="N8" s="269"/>
      <c r="O8" s="272"/>
      <c r="P8" s="216">
        <v>-655935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-760709018</v>
      </c>
      <c r="AT8" s="220">
        <v>0</v>
      </c>
      <c r="AU8" s="220">
        <v>7301</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98318985</v>
      </c>
      <c r="E12" s="213">
        <f>'Pt 2 Premium and Claims'!E$54</f>
        <v>115849435.46000001</v>
      </c>
      <c r="F12" s="213">
        <f>'Pt 2 Premium and Claims'!F$54</f>
        <v>2959902.2600000002</v>
      </c>
      <c r="G12" s="213">
        <f>'Pt 2 Premium and Claims'!G$54</f>
        <v>0</v>
      </c>
      <c r="H12" s="213">
        <f>'Pt 2 Premium and Claims'!H$54</f>
        <v>0</v>
      </c>
      <c r="I12" s="212">
        <f>'Pt 2 Premium and Claims'!I$54</f>
        <v>116276087</v>
      </c>
      <c r="J12" s="212">
        <f>'Pt 2 Premium and Claims'!J$54</f>
        <v>313064976</v>
      </c>
      <c r="K12" s="213">
        <f>'Pt 2 Premium and Claims'!K$54</f>
        <v>330043868.74000007</v>
      </c>
      <c r="L12" s="213">
        <f>'Pt 2 Premium and Claims'!L$54</f>
        <v>25015564.41</v>
      </c>
      <c r="M12" s="213">
        <f>'Pt 2 Premium and Claims'!M$54</f>
        <v>0</v>
      </c>
      <c r="N12" s="213">
        <f>'Pt 2 Premium and Claims'!N$54</f>
        <v>0</v>
      </c>
      <c r="O12" s="212">
        <f>'Pt 2 Premium and Claims'!O$54</f>
        <v>0</v>
      </c>
      <c r="P12" s="212">
        <f>'Pt 2 Premium and Claims'!P$54</f>
        <v>435490814</v>
      </c>
      <c r="Q12" s="213">
        <f>'Pt 2 Premium and Claims'!Q$54</f>
        <v>448620020.71000004</v>
      </c>
      <c r="R12" s="213">
        <f>'Pt 2 Premium and Claims'!R$54</f>
        <v>18548748.990000002</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879839147</v>
      </c>
      <c r="AT12" s="214">
        <f>'Pt 2 Premium and Claims'!AT$54</f>
        <v>2486</v>
      </c>
      <c r="AU12" s="214">
        <f>'Pt 2 Premium and Claims'!AU$54</f>
        <v>3978916987</v>
      </c>
      <c r="AV12" s="291"/>
      <c r="AW12" s="296"/>
    </row>
    <row r="13" spans="1:49" ht="25.5" x14ac:dyDescent="0.2">
      <c r="B13" s="239" t="s">
        <v>230</v>
      </c>
      <c r="C13" s="203" t="s">
        <v>37</v>
      </c>
      <c r="D13" s="216">
        <v>21622879</v>
      </c>
      <c r="E13" s="217">
        <v>22245235.579999998</v>
      </c>
      <c r="F13" s="217"/>
      <c r="G13" s="268"/>
      <c r="H13" s="269"/>
      <c r="I13" s="216">
        <v>20516150</v>
      </c>
      <c r="J13" s="216">
        <v>73344522</v>
      </c>
      <c r="K13" s="217">
        <v>72642958.569999993</v>
      </c>
      <c r="L13" s="217"/>
      <c r="M13" s="268"/>
      <c r="N13" s="269"/>
      <c r="O13" s="216"/>
      <c r="P13" s="216">
        <v>86315216</v>
      </c>
      <c r="Q13" s="217">
        <v>87210325.510000005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146651687</v>
      </c>
      <c r="AT13" s="220">
        <v>0</v>
      </c>
      <c r="AU13" s="220">
        <v>532849762</v>
      </c>
      <c r="AV13" s="290"/>
      <c r="AW13" s="297"/>
    </row>
    <row r="14" spans="1:49" ht="25.5" x14ac:dyDescent="0.2">
      <c r="B14" s="239" t="s">
        <v>231</v>
      </c>
      <c r="C14" s="203" t="s">
        <v>6</v>
      </c>
      <c r="D14" s="216">
        <v>2304556</v>
      </c>
      <c r="E14" s="217">
        <v>2228730.58</v>
      </c>
      <c r="F14" s="217"/>
      <c r="G14" s="267"/>
      <c r="H14" s="270"/>
      <c r="I14" s="216">
        <v>2012416</v>
      </c>
      <c r="J14" s="216">
        <v>10742077</v>
      </c>
      <c r="K14" s="217">
        <v>10859627.779999999</v>
      </c>
      <c r="L14" s="217"/>
      <c r="M14" s="267"/>
      <c r="N14" s="270"/>
      <c r="O14" s="216"/>
      <c r="P14" s="216">
        <v>12756882</v>
      </c>
      <c r="Q14" s="217">
        <v>12998429.279999999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344367</v>
      </c>
      <c r="AT14" s="220">
        <v>-131</v>
      </c>
      <c r="AU14" s="220">
        <v>179182465</v>
      </c>
      <c r="AV14" s="290"/>
      <c r="AW14" s="297"/>
    </row>
    <row r="15" spans="1:49" ht="38.25" x14ac:dyDescent="0.2">
      <c r="B15" s="239" t="s">
        <v>232</v>
      </c>
      <c r="C15" s="203" t="s">
        <v>7</v>
      </c>
      <c r="D15" s="216">
        <v>1733</v>
      </c>
      <c r="E15" s="217">
        <v>1755.97</v>
      </c>
      <c r="F15" s="217">
        <v>22.39</v>
      </c>
      <c r="G15" s="267"/>
      <c r="H15" s="273"/>
      <c r="I15" s="216">
        <v>1585</v>
      </c>
      <c r="J15" s="216">
        <v>5144</v>
      </c>
      <c r="K15" s="217">
        <v>5237.0200000000004</v>
      </c>
      <c r="L15" s="217">
        <v>274.26</v>
      </c>
      <c r="M15" s="267"/>
      <c r="N15" s="273"/>
      <c r="O15" s="216"/>
      <c r="P15" s="216">
        <v>7732</v>
      </c>
      <c r="Q15" s="217">
        <v>8049.74</v>
      </c>
      <c r="R15" s="217">
        <v>135.72</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17632</v>
      </c>
      <c r="AT15" s="220">
        <v>0</v>
      </c>
      <c r="AU15" s="220">
        <v>41521</v>
      </c>
      <c r="AV15" s="290"/>
      <c r="AW15" s="297"/>
    </row>
    <row r="16" spans="1:49" ht="25.5" x14ac:dyDescent="0.2">
      <c r="B16" s="239" t="s">
        <v>233</v>
      </c>
      <c r="C16" s="203" t="s">
        <v>61</v>
      </c>
      <c r="D16" s="216">
        <v>-18833372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-615065800</v>
      </c>
      <c r="AT16" s="220">
        <v>0</v>
      </c>
      <c r="AU16" s="220">
        <v>-917589</v>
      </c>
      <c r="AV16" s="290"/>
      <c r="AW16" s="297"/>
    </row>
    <row r="17" spans="1:49" x14ac:dyDescent="0.2">
      <c r="B17" s="239" t="s">
        <v>234</v>
      </c>
      <c r="C17" s="203" t="s">
        <v>62</v>
      </c>
      <c r="D17" s="216">
        <v>17774000</v>
      </c>
      <c r="E17" s="267"/>
      <c r="F17" s="270"/>
      <c r="G17" s="270"/>
      <c r="H17" s="270"/>
      <c r="I17" s="271"/>
      <c r="J17" s="216">
        <v>3238937</v>
      </c>
      <c r="K17" s="267"/>
      <c r="L17" s="270"/>
      <c r="M17" s="270"/>
      <c r="N17" s="270"/>
      <c r="O17" s="271"/>
      <c r="P17" s="216">
        <v>-3405040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-6076648</v>
      </c>
      <c r="AT17" s="220">
        <v>0</v>
      </c>
      <c r="AU17" s="220">
        <v>16735329</v>
      </c>
      <c r="AV17" s="290"/>
      <c r="AW17" s="297"/>
    </row>
    <row r="18" spans="1:49" x14ac:dyDescent="0.2">
      <c r="B18" s="239" t="s">
        <v>235</v>
      </c>
      <c r="C18" s="203" t="s">
        <v>63</v>
      </c>
      <c r="D18" s="216">
        <v>0</v>
      </c>
      <c r="E18" s="267"/>
      <c r="F18" s="270"/>
      <c r="G18" s="270"/>
      <c r="H18" s="273"/>
      <c r="I18" s="271"/>
      <c r="J18" s="216">
        <v>144891</v>
      </c>
      <c r="K18" s="267"/>
      <c r="L18" s="270"/>
      <c r="M18" s="270"/>
      <c r="N18" s="273"/>
      <c r="O18" s="271"/>
      <c r="P18" s="216">
        <v>2494423</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40490</v>
      </c>
      <c r="K19" s="267"/>
      <c r="L19" s="270"/>
      <c r="M19" s="270"/>
      <c r="N19" s="270"/>
      <c r="O19" s="271"/>
      <c r="P19" s="216">
        <v>291426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3903529</v>
      </c>
      <c r="AV19" s="290"/>
      <c r="AW19" s="297"/>
    </row>
    <row r="20" spans="1:49" x14ac:dyDescent="0.2">
      <c r="B20" s="239" t="s">
        <v>237</v>
      </c>
      <c r="C20" s="203" t="s">
        <v>65</v>
      </c>
      <c r="D20" s="216">
        <v>0</v>
      </c>
      <c r="E20" s="267"/>
      <c r="F20" s="270"/>
      <c r="G20" s="270"/>
      <c r="H20" s="270"/>
      <c r="I20" s="271"/>
      <c r="J20" s="216">
        <v>4665</v>
      </c>
      <c r="K20" s="267"/>
      <c r="L20" s="270"/>
      <c r="M20" s="270"/>
      <c r="N20" s="270"/>
      <c r="O20" s="271"/>
      <c r="P20" s="216">
        <v>15045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3203848</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182498.79</v>
      </c>
      <c r="E22" s="222">
        <f>'Pt 2 Premium and Claims'!E$55</f>
        <v>184895.29</v>
      </c>
      <c r="F22" s="222">
        <f>'Pt 2 Premium and Claims'!F$55</f>
        <v>1910.87</v>
      </c>
      <c r="G22" s="222">
        <f>'Pt 2 Premium and Claims'!G$55</f>
        <v>0</v>
      </c>
      <c r="H22" s="222">
        <f>'Pt 2 Premium and Claims'!H$55</f>
        <v>0</v>
      </c>
      <c r="I22" s="221">
        <f>'Pt 2 Premium and Claims'!I$55</f>
        <v>162929</v>
      </c>
      <c r="J22" s="221">
        <f>'Pt 2 Premium and Claims'!J$55</f>
        <v>590580.67000000004</v>
      </c>
      <c r="K22" s="222">
        <f>'Pt 2 Premium and Claims'!K$55</f>
        <v>617329.30000000005</v>
      </c>
      <c r="L22" s="222">
        <f>'Pt 2 Premium and Claims'!L$55</f>
        <v>42878.41</v>
      </c>
      <c r="M22" s="222">
        <f>'Pt 2 Premium and Claims'!M$55</f>
        <v>0</v>
      </c>
      <c r="N22" s="222">
        <f>'Pt 2 Premium and Claims'!N$55</f>
        <v>0</v>
      </c>
      <c r="O22" s="221">
        <f>'Pt 2 Premium and Claims'!O$55</f>
        <v>0</v>
      </c>
      <c r="P22" s="221">
        <f>'Pt 2 Premium and Claims'!P$55</f>
        <v>731315.32</v>
      </c>
      <c r="Q22" s="222">
        <f>'Pt 2 Premium and Claims'!Q$55</f>
        <v>780896.06</v>
      </c>
      <c r="R22" s="222">
        <f>'Pt 2 Premium and Claims'!R$55</f>
        <v>31635.56</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54293.39</v>
      </c>
      <c r="E25" s="217">
        <v>-598963.56000000006</v>
      </c>
      <c r="F25" s="217">
        <v>-651946.41</v>
      </c>
      <c r="G25" s="217"/>
      <c r="H25" s="217"/>
      <c r="I25" s="216">
        <v>-4438789</v>
      </c>
      <c r="J25" s="216">
        <v>-2270671.37</v>
      </c>
      <c r="K25" s="217">
        <v>-5058761.37</v>
      </c>
      <c r="L25" s="217">
        <v>803778.25</v>
      </c>
      <c r="M25" s="217"/>
      <c r="N25" s="217"/>
      <c r="O25" s="216"/>
      <c r="P25" s="216">
        <v>2957023.64</v>
      </c>
      <c r="Q25" s="217">
        <v>5203072.21</v>
      </c>
      <c r="R25" s="217">
        <v>-1347091.43</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4612206.92</v>
      </c>
      <c r="AT25" s="220">
        <v>-23825.31</v>
      </c>
      <c r="AU25" s="220">
        <v>-5257298.9800000004</v>
      </c>
      <c r="AV25" s="220"/>
      <c r="AW25" s="297"/>
    </row>
    <row r="26" spans="1:49" s="5" customFormat="1" x14ac:dyDescent="0.2">
      <c r="A26" s="35"/>
      <c r="B26" s="242" t="s">
        <v>242</v>
      </c>
      <c r="C26" s="203"/>
      <c r="D26" s="216">
        <v>49012.05</v>
      </c>
      <c r="E26" s="217">
        <v>46888.59</v>
      </c>
      <c r="F26" s="217">
        <v>-2123.14</v>
      </c>
      <c r="G26" s="217"/>
      <c r="H26" s="217"/>
      <c r="I26" s="216">
        <v>24699</v>
      </c>
      <c r="J26" s="216">
        <v>183859.08</v>
      </c>
      <c r="K26" s="217">
        <v>192188.25</v>
      </c>
      <c r="L26" s="217">
        <v>13520.79</v>
      </c>
      <c r="M26" s="217"/>
      <c r="N26" s="217"/>
      <c r="O26" s="216"/>
      <c r="P26" s="216">
        <v>257360.42</v>
      </c>
      <c r="Q26" s="217">
        <v>275859.59000000003</v>
      </c>
      <c r="R26" s="217">
        <v>13307.55</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993.01</v>
      </c>
      <c r="AU26" s="220"/>
      <c r="AV26" s="220"/>
      <c r="AW26" s="297"/>
    </row>
    <row r="27" spans="1:49" s="5" customFormat="1" x14ac:dyDescent="0.2">
      <c r="B27" s="242" t="s">
        <v>243</v>
      </c>
      <c r="C27" s="203"/>
      <c r="D27" s="216">
        <v>3025882.25</v>
      </c>
      <c r="E27" s="217">
        <v>3051889.58</v>
      </c>
      <c r="F27" s="217">
        <v>26007.56</v>
      </c>
      <c r="G27" s="217"/>
      <c r="H27" s="217"/>
      <c r="I27" s="216">
        <v>2663031</v>
      </c>
      <c r="J27" s="216">
        <v>10049155.380000001</v>
      </c>
      <c r="K27" s="217">
        <v>10268108.029999999</v>
      </c>
      <c r="L27" s="217">
        <v>483521.52</v>
      </c>
      <c r="M27" s="217"/>
      <c r="N27" s="217"/>
      <c r="O27" s="216"/>
      <c r="P27" s="216">
        <v>11815872.439999999</v>
      </c>
      <c r="Q27" s="217">
        <v>12418271.689999999</v>
      </c>
      <c r="R27" s="217">
        <v>337830.38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15052940.42</v>
      </c>
      <c r="AT27" s="220">
        <v>16.809999999999999</v>
      </c>
      <c r="AU27" s="220">
        <v>75255999.180000007</v>
      </c>
      <c r="AV27" s="293"/>
      <c r="AW27" s="297"/>
    </row>
    <row r="28" spans="1:49" s="5" customFormat="1" x14ac:dyDescent="0.2">
      <c r="A28" s="35"/>
      <c r="B28" s="242" t="s">
        <v>244</v>
      </c>
      <c r="C28" s="203"/>
      <c r="D28" s="216">
        <v>298752.59999999998</v>
      </c>
      <c r="E28" s="217">
        <v>302148.28999999998</v>
      </c>
      <c r="F28" s="217">
        <v>3395.32</v>
      </c>
      <c r="G28" s="217"/>
      <c r="H28" s="217"/>
      <c r="I28" s="216">
        <v>251528</v>
      </c>
      <c r="J28" s="216">
        <v>697337.04</v>
      </c>
      <c r="K28" s="217">
        <v>732495.15</v>
      </c>
      <c r="L28" s="217">
        <v>54595.53</v>
      </c>
      <c r="M28" s="217"/>
      <c r="N28" s="217"/>
      <c r="O28" s="216"/>
      <c r="P28" s="216">
        <v>900507.58</v>
      </c>
      <c r="Q28" s="217">
        <v>968793.68</v>
      </c>
      <c r="R28" s="217">
        <v>48848.67</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3980478.17</v>
      </c>
      <c r="AT28" s="220">
        <v>340.28</v>
      </c>
      <c r="AU28" s="220">
        <v>8224242.6799999997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87931.9</v>
      </c>
      <c r="E30" s="217">
        <v>37194.33</v>
      </c>
      <c r="F30" s="217">
        <v>-50621.31</v>
      </c>
      <c r="G30" s="217"/>
      <c r="H30" s="217"/>
      <c r="I30" s="216">
        <v>-320312</v>
      </c>
      <c r="J30" s="216">
        <v>50307.47</v>
      </c>
      <c r="K30" s="217">
        <v>-205453.94</v>
      </c>
      <c r="L30" s="217">
        <v>69261</v>
      </c>
      <c r="M30" s="217"/>
      <c r="N30" s="217"/>
      <c r="O30" s="216"/>
      <c r="P30" s="216">
        <v>531616.09</v>
      </c>
      <c r="Q30" s="217">
        <v>757034.32</v>
      </c>
      <c r="R30" s="217">
        <v>-99717.02</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935912.27</v>
      </c>
      <c r="AT30" s="220">
        <v>-2045.62</v>
      </c>
      <c r="AU30" s="220">
        <v>1842417.71</v>
      </c>
      <c r="AV30" s="220"/>
      <c r="AW30" s="297"/>
    </row>
    <row r="31" spans="1:49" x14ac:dyDescent="0.2">
      <c r="B31" s="242" t="s">
        <v>247</v>
      </c>
      <c r="C31" s="203"/>
      <c r="D31" s="216">
        <v>19236.240000000002</v>
      </c>
      <c r="E31" s="217">
        <v>48119.76</v>
      </c>
      <c r="F31" s="217">
        <v>28883.52</v>
      </c>
      <c r="G31" s="217"/>
      <c r="H31" s="217"/>
      <c r="I31" s="216">
        <v>46922</v>
      </c>
      <c r="J31" s="216">
        <v>2130426.27</v>
      </c>
      <c r="K31" s="217">
        <v>2614095.6800000002</v>
      </c>
      <c r="L31" s="217">
        <v>521685.98</v>
      </c>
      <c r="M31" s="217"/>
      <c r="N31" s="217"/>
      <c r="O31" s="216"/>
      <c r="P31" s="216">
        <v>1185548.32</v>
      </c>
      <c r="Q31" s="217">
        <v>1529022.36</v>
      </c>
      <c r="R31" s="217">
        <v>305457.46999999997</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71545</v>
      </c>
      <c r="AT31" s="220">
        <v>-208.54</v>
      </c>
      <c r="AU31" s="220">
        <v>132.04</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518680.08</v>
      </c>
      <c r="E34" s="217">
        <v>1373668.43</v>
      </c>
      <c r="F34" s="217">
        <v>0</v>
      </c>
      <c r="G34" s="217"/>
      <c r="H34" s="217"/>
      <c r="I34" s="216">
        <v>1141019</v>
      </c>
      <c r="J34" s="216">
        <v>4256217.21</v>
      </c>
      <c r="K34" s="217">
        <v>4146431.24</v>
      </c>
      <c r="L34" s="217"/>
      <c r="M34" s="217"/>
      <c r="N34" s="217"/>
      <c r="O34" s="216"/>
      <c r="P34" s="216">
        <v>4493646.96</v>
      </c>
      <c r="Q34" s="217">
        <v>4603432.93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565625.31999999995</v>
      </c>
      <c r="E35" s="217">
        <v>567053.36</v>
      </c>
      <c r="F35" s="217">
        <v>1428.49</v>
      </c>
      <c r="G35" s="217"/>
      <c r="H35" s="217"/>
      <c r="I35" s="216">
        <v>551536</v>
      </c>
      <c r="J35" s="216">
        <v>273258.68</v>
      </c>
      <c r="K35" s="217">
        <v>288070.42</v>
      </c>
      <c r="L35" s="217">
        <v>21895.5</v>
      </c>
      <c r="M35" s="217"/>
      <c r="N35" s="217"/>
      <c r="O35" s="216"/>
      <c r="P35" s="216">
        <v>279935.11</v>
      </c>
      <c r="Q35" s="217">
        <v>302150.63</v>
      </c>
      <c r="R35" s="217">
        <v>15131.76</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1227149.76</v>
      </c>
      <c r="AT35" s="220">
        <v>103.22</v>
      </c>
      <c r="AU35" s="220">
        <v>2528231.4700000002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297668</v>
      </c>
      <c r="E37" s="225">
        <v>298986.38</v>
      </c>
      <c r="F37" s="225">
        <v>1319.09</v>
      </c>
      <c r="G37" s="225"/>
      <c r="H37" s="225"/>
      <c r="I37" s="224">
        <v>258405</v>
      </c>
      <c r="J37" s="224">
        <v>903115</v>
      </c>
      <c r="K37" s="225">
        <v>905002.91</v>
      </c>
      <c r="L37" s="225">
        <v>26670.01</v>
      </c>
      <c r="M37" s="225"/>
      <c r="N37" s="225"/>
      <c r="O37" s="224"/>
      <c r="P37" s="224">
        <v>1363394</v>
      </c>
      <c r="Q37" s="225">
        <v>1495121.13</v>
      </c>
      <c r="R37" s="225">
        <v>106946.52</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11143574</v>
      </c>
      <c r="AT37" s="226">
        <v>0</v>
      </c>
      <c r="AU37" s="226">
        <v>29992603</v>
      </c>
      <c r="AV37" s="226">
        <v>1673688</v>
      </c>
      <c r="AW37" s="296"/>
    </row>
    <row r="38" spans="1:49" x14ac:dyDescent="0.2">
      <c r="B38" s="239" t="s">
        <v>254</v>
      </c>
      <c r="C38" s="203" t="s">
        <v>16</v>
      </c>
      <c r="D38" s="216">
        <v>23694</v>
      </c>
      <c r="E38" s="217">
        <v>23894.13</v>
      </c>
      <c r="F38" s="217">
        <v>200.12</v>
      </c>
      <c r="G38" s="217"/>
      <c r="H38" s="217"/>
      <c r="I38" s="216">
        <v>17427</v>
      </c>
      <c r="J38" s="216">
        <v>234566</v>
      </c>
      <c r="K38" s="217">
        <v>227635.13</v>
      </c>
      <c r="L38" s="217">
        <v>-257.10000000000002</v>
      </c>
      <c r="M38" s="217"/>
      <c r="N38" s="217"/>
      <c r="O38" s="216"/>
      <c r="P38" s="216">
        <v>518773</v>
      </c>
      <c r="Q38" s="217">
        <v>623098.79</v>
      </c>
      <c r="R38" s="217">
        <v>97652.93</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217344</v>
      </c>
      <c r="AT38" s="220">
        <v>0</v>
      </c>
      <c r="AU38" s="220">
        <v>12552715</v>
      </c>
      <c r="AV38" s="220">
        <v>503120</v>
      </c>
      <c r="AW38" s="297"/>
    </row>
    <row r="39" spans="1:49" x14ac:dyDescent="0.2">
      <c r="B39" s="242" t="s">
        <v>255</v>
      </c>
      <c r="C39" s="203" t="s">
        <v>17</v>
      </c>
      <c r="D39" s="216">
        <v>130093</v>
      </c>
      <c r="E39" s="217">
        <v>130408.85</v>
      </c>
      <c r="F39" s="217">
        <v>315.74</v>
      </c>
      <c r="G39" s="217"/>
      <c r="H39" s="217"/>
      <c r="I39" s="216">
        <v>111564</v>
      </c>
      <c r="J39" s="216">
        <v>514483</v>
      </c>
      <c r="K39" s="217">
        <v>507600.39</v>
      </c>
      <c r="L39" s="217">
        <v>5965.87</v>
      </c>
      <c r="M39" s="217"/>
      <c r="N39" s="217"/>
      <c r="O39" s="216"/>
      <c r="P39" s="216">
        <v>575476</v>
      </c>
      <c r="Q39" s="217">
        <v>608943.02</v>
      </c>
      <c r="R39" s="217">
        <v>20619.47</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149937</v>
      </c>
      <c r="AT39" s="220">
        <v>0</v>
      </c>
      <c r="AU39" s="220">
        <v>8385083</v>
      </c>
      <c r="AV39" s="220">
        <v>523070</v>
      </c>
      <c r="AW39" s="297"/>
    </row>
    <row r="40" spans="1:49" x14ac:dyDescent="0.2">
      <c r="B40" s="242" t="s">
        <v>256</v>
      </c>
      <c r="C40" s="203" t="s">
        <v>38</v>
      </c>
      <c r="D40" s="216">
        <v>267085</v>
      </c>
      <c r="E40" s="217">
        <v>267220.02</v>
      </c>
      <c r="F40" s="217">
        <v>134.66999999999999</v>
      </c>
      <c r="G40" s="217"/>
      <c r="H40" s="217"/>
      <c r="I40" s="216">
        <v>183209</v>
      </c>
      <c r="J40" s="216">
        <v>4272420</v>
      </c>
      <c r="K40" s="217">
        <v>4205106.8899999997</v>
      </c>
      <c r="L40" s="217">
        <v>45603.85</v>
      </c>
      <c r="M40" s="217"/>
      <c r="N40" s="217"/>
      <c r="O40" s="216"/>
      <c r="P40" s="216">
        <v>4928988</v>
      </c>
      <c r="Q40" s="217">
        <v>5140395.54</v>
      </c>
      <c r="R40" s="217">
        <v>98489.42</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516219</v>
      </c>
      <c r="AT40" s="220">
        <v>0</v>
      </c>
      <c r="AU40" s="220">
        <v>31580786</v>
      </c>
      <c r="AV40" s="220">
        <v>1571108</v>
      </c>
      <c r="AW40" s="297"/>
    </row>
    <row r="41" spans="1:49" s="5" customFormat="1" ht="25.5" x14ac:dyDescent="0.2">
      <c r="A41" s="35"/>
      <c r="B41" s="242" t="s">
        <v>257</v>
      </c>
      <c r="C41" s="203" t="s">
        <v>129</v>
      </c>
      <c r="D41" s="216">
        <v>154767</v>
      </c>
      <c r="E41" s="217">
        <v>156490.68</v>
      </c>
      <c r="F41" s="217">
        <v>1723.32</v>
      </c>
      <c r="G41" s="217"/>
      <c r="H41" s="217"/>
      <c r="I41" s="216">
        <v>123541</v>
      </c>
      <c r="J41" s="216">
        <v>591654</v>
      </c>
      <c r="K41" s="217">
        <v>619183.57999999996</v>
      </c>
      <c r="L41" s="217">
        <v>43185.31</v>
      </c>
      <c r="M41" s="217"/>
      <c r="N41" s="217"/>
      <c r="O41" s="216"/>
      <c r="P41" s="216">
        <v>664631</v>
      </c>
      <c r="Q41" s="217">
        <v>710922.45</v>
      </c>
      <c r="R41" s="217">
        <v>30635.43</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122311</v>
      </c>
      <c r="AT41" s="220">
        <v>0</v>
      </c>
      <c r="AU41" s="220">
        <v>5903006</v>
      </c>
      <c r="AV41" s="220">
        <v>965965</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1237640</v>
      </c>
      <c r="E44" s="225">
        <v>1248966.1200000001</v>
      </c>
      <c r="F44" s="225">
        <v>11326.64</v>
      </c>
      <c r="G44" s="225"/>
      <c r="H44" s="225"/>
      <c r="I44" s="224">
        <v>1138678</v>
      </c>
      <c r="J44" s="224">
        <v>4431898</v>
      </c>
      <c r="K44" s="225">
        <v>4476725.68</v>
      </c>
      <c r="L44" s="225">
        <v>164675.04</v>
      </c>
      <c r="M44" s="225"/>
      <c r="N44" s="225"/>
      <c r="O44" s="224"/>
      <c r="P44" s="224">
        <v>5490473</v>
      </c>
      <c r="Q44" s="225">
        <v>5776535.2300000004</v>
      </c>
      <c r="R44" s="225">
        <v>166216.01</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5258144</v>
      </c>
      <c r="AT44" s="226">
        <v>0</v>
      </c>
      <c r="AU44" s="226">
        <v>46820122</v>
      </c>
      <c r="AV44" s="226">
        <v>5762144</v>
      </c>
      <c r="AW44" s="296"/>
    </row>
    <row r="45" spans="1:49" x14ac:dyDescent="0.2">
      <c r="B45" s="245" t="s">
        <v>261</v>
      </c>
      <c r="C45" s="203" t="s">
        <v>19</v>
      </c>
      <c r="D45" s="216">
        <v>1123843</v>
      </c>
      <c r="E45" s="217">
        <v>1135789.2</v>
      </c>
      <c r="F45" s="217">
        <v>11946.44</v>
      </c>
      <c r="G45" s="217"/>
      <c r="H45" s="217"/>
      <c r="I45" s="216">
        <v>997292</v>
      </c>
      <c r="J45" s="216">
        <v>2778368</v>
      </c>
      <c r="K45" s="217">
        <v>2838803.26</v>
      </c>
      <c r="L45" s="217">
        <v>134870.64000000001</v>
      </c>
      <c r="M45" s="217"/>
      <c r="N45" s="217"/>
      <c r="O45" s="216"/>
      <c r="P45" s="216">
        <v>3374432</v>
      </c>
      <c r="Q45" s="217">
        <v>3547851.26</v>
      </c>
      <c r="R45" s="217">
        <v>98983.92</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188844</v>
      </c>
      <c r="AT45" s="220">
        <v>-115</v>
      </c>
      <c r="AU45" s="220">
        <v>43656520</v>
      </c>
      <c r="AV45" s="220">
        <v>4636951</v>
      </c>
      <c r="AW45" s="297"/>
    </row>
    <row r="46" spans="1:49" x14ac:dyDescent="0.2">
      <c r="B46" s="245" t="s">
        <v>262</v>
      </c>
      <c r="C46" s="203" t="s">
        <v>20</v>
      </c>
      <c r="D46" s="216">
        <v>566355</v>
      </c>
      <c r="E46" s="217">
        <v>573384.04</v>
      </c>
      <c r="F46" s="217">
        <v>7029.3</v>
      </c>
      <c r="G46" s="217"/>
      <c r="H46" s="217"/>
      <c r="I46" s="216">
        <v>537976</v>
      </c>
      <c r="J46" s="216">
        <v>1683449</v>
      </c>
      <c r="K46" s="217">
        <v>1779631.49</v>
      </c>
      <c r="L46" s="217">
        <v>141468.69</v>
      </c>
      <c r="M46" s="217"/>
      <c r="N46" s="217"/>
      <c r="O46" s="216"/>
      <c r="P46" s="216">
        <v>2024919</v>
      </c>
      <c r="Q46" s="217">
        <v>2214509.75</v>
      </c>
      <c r="R46" s="217">
        <v>144304.98000000001</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101748</v>
      </c>
      <c r="AT46" s="220">
        <v>3</v>
      </c>
      <c r="AU46" s="220">
        <v>37903091</v>
      </c>
      <c r="AV46" s="220">
        <v>1887290</v>
      </c>
      <c r="AW46" s="297"/>
    </row>
    <row r="47" spans="1:49" x14ac:dyDescent="0.2">
      <c r="B47" s="245" t="s">
        <v>263</v>
      </c>
      <c r="C47" s="203" t="s">
        <v>21</v>
      </c>
      <c r="D47" s="216">
        <v>3113737</v>
      </c>
      <c r="E47" s="217">
        <v>3114999.78</v>
      </c>
      <c r="F47" s="217">
        <v>1263.24</v>
      </c>
      <c r="G47" s="217"/>
      <c r="H47" s="217"/>
      <c r="I47" s="216">
        <v>2561719</v>
      </c>
      <c r="J47" s="216">
        <v>20320980</v>
      </c>
      <c r="K47" s="217">
        <v>19844699.75</v>
      </c>
      <c r="L47" s="217">
        <v>20312.52</v>
      </c>
      <c r="M47" s="217"/>
      <c r="N47" s="217"/>
      <c r="O47" s="216"/>
      <c r="P47" s="216">
        <v>14927544</v>
      </c>
      <c r="Q47" s="217">
        <v>15442312.42</v>
      </c>
      <c r="R47" s="217">
        <v>18174.61</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1479822</v>
      </c>
      <c r="AT47" s="220">
        <v>63861</v>
      </c>
      <c r="AU47" s="220">
        <v>68582917</v>
      </c>
      <c r="AV47" s="220">
        <v>1403298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42081.37</v>
      </c>
      <c r="E49" s="217">
        <v>23457.72</v>
      </c>
      <c r="F49" s="217">
        <v>-18623.3</v>
      </c>
      <c r="G49" s="217"/>
      <c r="H49" s="217"/>
      <c r="I49" s="216">
        <v>107539</v>
      </c>
      <c r="J49" s="216">
        <v>-1450323.26</v>
      </c>
      <c r="K49" s="217">
        <v>-1423920.51</v>
      </c>
      <c r="L49" s="217">
        <v>27058.33</v>
      </c>
      <c r="M49" s="217"/>
      <c r="N49" s="217"/>
      <c r="O49" s="216"/>
      <c r="P49" s="216">
        <v>1447076.19</v>
      </c>
      <c r="Q49" s="217">
        <v>1405530.1</v>
      </c>
      <c r="R49" s="217">
        <v>-42201.67</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4277285.3</v>
      </c>
      <c r="AT49" s="220">
        <v>-15283.54</v>
      </c>
      <c r="AU49" s="220">
        <v>-3202197.34</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65000</v>
      </c>
      <c r="AT50" s="220"/>
      <c r="AU50" s="220">
        <v>184476.12</v>
      </c>
      <c r="AV50" s="220"/>
      <c r="AW50" s="297"/>
    </row>
    <row r="51" spans="2:49" x14ac:dyDescent="0.2">
      <c r="B51" s="239" t="s">
        <v>266</v>
      </c>
      <c r="C51" s="203"/>
      <c r="D51" s="216">
        <v>8769702</v>
      </c>
      <c r="E51" s="217">
        <v>8868178.5299999993</v>
      </c>
      <c r="F51" s="217">
        <v>98475.75</v>
      </c>
      <c r="G51" s="217"/>
      <c r="H51" s="217"/>
      <c r="I51" s="216">
        <v>7457608</v>
      </c>
      <c r="J51" s="216">
        <v>22431304</v>
      </c>
      <c r="K51" s="217">
        <v>23494052.84</v>
      </c>
      <c r="L51" s="217">
        <v>1679146.12</v>
      </c>
      <c r="M51" s="217"/>
      <c r="N51" s="217"/>
      <c r="O51" s="216"/>
      <c r="P51" s="216">
        <v>27776675</v>
      </c>
      <c r="Q51" s="217">
        <v>29813453.079999998</v>
      </c>
      <c r="R51" s="217">
        <v>1420380.97</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-10190803</v>
      </c>
      <c r="AT51" s="220">
        <v>10614</v>
      </c>
      <c r="AU51" s="220">
        <v>238932355</v>
      </c>
      <c r="AV51" s="220">
        <v>25602821</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16649</v>
      </c>
      <c r="E56" s="229">
        <v>16649</v>
      </c>
      <c r="F56" s="229">
        <v>0</v>
      </c>
      <c r="G56" s="229"/>
      <c r="H56" s="229"/>
      <c r="I56" s="228">
        <v>15007</v>
      </c>
      <c r="J56" s="228">
        <v>57986</v>
      </c>
      <c r="K56" s="229">
        <v>57961</v>
      </c>
      <c r="L56" s="229">
        <v>0</v>
      </c>
      <c r="M56" s="229"/>
      <c r="N56" s="229"/>
      <c r="O56" s="228"/>
      <c r="P56" s="228">
        <v>61938</v>
      </c>
      <c r="Q56" s="229">
        <v>61963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4907</v>
      </c>
      <c r="AT56" s="230">
        <v>0</v>
      </c>
      <c r="AU56" s="230">
        <v>480688</v>
      </c>
      <c r="AV56" s="230">
        <v>72470</v>
      </c>
      <c r="AW56" s="288"/>
    </row>
    <row r="57" spans="2:49" x14ac:dyDescent="0.2">
      <c r="B57" s="245" t="s">
        <v>272</v>
      </c>
      <c r="C57" s="203" t="s">
        <v>25</v>
      </c>
      <c r="D57" s="231">
        <v>25897</v>
      </c>
      <c r="E57" s="232">
        <v>25897</v>
      </c>
      <c r="F57" s="232">
        <v>391</v>
      </c>
      <c r="G57" s="232"/>
      <c r="H57" s="232"/>
      <c r="I57" s="231">
        <v>22899</v>
      </c>
      <c r="J57" s="231">
        <v>97536</v>
      </c>
      <c r="K57" s="232">
        <v>92511</v>
      </c>
      <c r="L57" s="232">
        <v>6343</v>
      </c>
      <c r="M57" s="232"/>
      <c r="N57" s="232"/>
      <c r="O57" s="231"/>
      <c r="P57" s="231">
        <v>107297</v>
      </c>
      <c r="Q57" s="232">
        <v>112323</v>
      </c>
      <c r="R57" s="232">
        <v>4856</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150045</v>
      </c>
      <c r="AT57" s="233">
        <v>0</v>
      </c>
      <c r="AU57" s="233">
        <v>480688</v>
      </c>
      <c r="AV57" s="233">
        <v>156602</v>
      </c>
      <c r="AW57" s="289"/>
    </row>
    <row r="58" spans="2:49" x14ac:dyDescent="0.2">
      <c r="B58" s="245" t="s">
        <v>273</v>
      </c>
      <c r="C58" s="203" t="s">
        <v>26</v>
      </c>
      <c r="D58" s="309"/>
      <c r="E58" s="310"/>
      <c r="F58" s="310"/>
      <c r="G58" s="310"/>
      <c r="H58" s="310"/>
      <c r="I58" s="309"/>
      <c r="J58" s="231">
        <v>7329</v>
      </c>
      <c r="K58" s="232">
        <v>7329</v>
      </c>
      <c r="L58" s="232"/>
      <c r="M58" s="232"/>
      <c r="N58" s="232"/>
      <c r="O58" s="231"/>
      <c r="P58" s="231">
        <v>803</v>
      </c>
      <c r="Q58" s="232">
        <v>801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55</v>
      </c>
      <c r="AV58" s="233">
        <v>79</v>
      </c>
      <c r="AW58" s="289"/>
    </row>
    <row r="59" spans="2:49" x14ac:dyDescent="0.2">
      <c r="B59" s="245" t="s">
        <v>274</v>
      </c>
      <c r="C59" s="203" t="s">
        <v>27</v>
      </c>
      <c r="D59" s="231">
        <v>356346</v>
      </c>
      <c r="E59" s="232">
        <v>357045</v>
      </c>
      <c r="F59" s="232">
        <v>4494</v>
      </c>
      <c r="G59" s="232"/>
      <c r="H59" s="232"/>
      <c r="I59" s="231">
        <v>304189</v>
      </c>
      <c r="J59" s="231">
        <v>1182959</v>
      </c>
      <c r="K59" s="232">
        <v>1133817</v>
      </c>
      <c r="L59" s="232">
        <v>80185</v>
      </c>
      <c r="M59" s="232"/>
      <c r="N59" s="232"/>
      <c r="O59" s="231"/>
      <c r="P59" s="231">
        <v>1258158</v>
      </c>
      <c r="Q59" s="232">
        <v>1305810</v>
      </c>
      <c r="R59" s="232">
        <v>56825</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1499976</v>
      </c>
      <c r="AT59" s="233">
        <v>0</v>
      </c>
      <c r="AU59" s="233">
        <v>5646832</v>
      </c>
      <c r="AV59" s="233">
        <v>1851766</v>
      </c>
      <c r="AW59" s="289"/>
    </row>
    <row r="60" spans="2:49" x14ac:dyDescent="0.2">
      <c r="B60" s="245" t="s">
        <v>275</v>
      </c>
      <c r="C60" s="203"/>
      <c r="D60" s="234">
        <f t="shared" ref="D60:AC60" si="0">D$59/12</f>
        <v>29695.5</v>
      </c>
      <c r="E60" s="235">
        <f t="shared" si="0"/>
        <v>29753.75</v>
      </c>
      <c r="F60" s="235">
        <f t="shared" si="0"/>
        <v>374.5</v>
      </c>
      <c r="G60" s="235">
        <f t="shared" si="0"/>
        <v>0</v>
      </c>
      <c r="H60" s="235">
        <f t="shared" si="0"/>
        <v>0</v>
      </c>
      <c r="I60" s="234">
        <f t="shared" si="0"/>
        <v>25349.083333333332</v>
      </c>
      <c r="J60" s="234">
        <f t="shared" si="0"/>
        <v>98579.916666666672</v>
      </c>
      <c r="K60" s="235">
        <f t="shared" si="0"/>
        <v>94484.75</v>
      </c>
      <c r="L60" s="235">
        <f t="shared" si="0"/>
        <v>6682.083333333333</v>
      </c>
      <c r="M60" s="235">
        <f t="shared" si="0"/>
        <v>0</v>
      </c>
      <c r="N60" s="235">
        <f t="shared" si="0"/>
        <v>0</v>
      </c>
      <c r="O60" s="234">
        <f t="shared" si="0"/>
        <v>0</v>
      </c>
      <c r="P60" s="234">
        <f t="shared" si="0"/>
        <v>104846.5</v>
      </c>
      <c r="Q60" s="235">
        <f t="shared" si="0"/>
        <v>108817.5</v>
      </c>
      <c r="R60" s="235">
        <f t="shared" si="0"/>
        <v>4735.416666666667</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124998</v>
      </c>
      <c r="AT60" s="236">
        <f t="shared" si="1"/>
        <v>0</v>
      </c>
      <c r="AU60" s="236">
        <f t="shared" si="1"/>
        <v>470569.33333333331</v>
      </c>
      <c r="AV60" s="236">
        <f t="shared" si="1"/>
        <v>154313.83333333334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108605886</v>
      </c>
      <c r="E5" s="326">
        <v>103817053.7</v>
      </c>
      <c r="F5" s="326">
        <v>1564774.36</v>
      </c>
      <c r="G5" s="328"/>
      <c r="H5" s="328"/>
      <c r="I5" s="325">
        <v>92217857</v>
      </c>
      <c r="J5" s="325">
        <v>383906423</v>
      </c>
      <c r="K5" s="326">
        <v>409040093.39999998</v>
      </c>
      <c r="L5" s="326">
        <v>29301589.219999999</v>
      </c>
      <c r="M5" s="326"/>
      <c r="N5" s="326"/>
      <c r="O5" s="325"/>
      <c r="P5" s="325">
        <v>504515199</v>
      </c>
      <c r="Q5" s="326">
        <v>534572030.50999999</v>
      </c>
      <c r="R5" s="326">
        <v>19115900.309999999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1066695147</v>
      </c>
      <c r="AT5" s="327">
        <v>99216</v>
      </c>
      <c r="AU5" s="327">
        <v>4493951546</v>
      </c>
      <c r="AV5" s="369"/>
      <c r="AW5" s="373"/>
    </row>
    <row r="6" spans="2:49" x14ac:dyDescent="0.2">
      <c r="B6" s="343" t="s">
        <v>278</v>
      </c>
      <c r="C6" s="331" t="s">
        <v>8</v>
      </c>
      <c r="D6" s="318">
        <v>102659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100224</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8750457</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-1285156</v>
      </c>
      <c r="E9" s="362"/>
      <c r="F9" s="362"/>
      <c r="G9" s="362"/>
      <c r="H9" s="362"/>
      <c r="I9" s="364"/>
      <c r="J9" s="318">
        <v>144888</v>
      </c>
      <c r="K9" s="362"/>
      <c r="L9" s="362"/>
      <c r="M9" s="362"/>
      <c r="N9" s="362"/>
      <c r="O9" s="364"/>
      <c r="P9" s="318">
        <v>1600094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4824256</v>
      </c>
      <c r="AT9" s="321">
        <v>0</v>
      </c>
      <c r="AU9" s="321">
        <v>-46883978</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-884317</v>
      </c>
      <c r="R10" s="319">
        <v>10011.14</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-17456189</v>
      </c>
      <c r="E11" s="319"/>
      <c r="F11" s="319"/>
      <c r="G11" s="319"/>
      <c r="H11" s="319"/>
      <c r="I11" s="318">
        <v>0</v>
      </c>
      <c r="J11" s="318">
        <v>4665</v>
      </c>
      <c r="K11" s="319"/>
      <c r="L11" s="319"/>
      <c r="M11" s="319"/>
      <c r="N11" s="319"/>
      <c r="O11" s="318"/>
      <c r="P11" s="318">
        <v>29945</v>
      </c>
      <c r="Q11" s="319">
        <v>-73233</v>
      </c>
      <c r="R11" s="319">
        <v>-4321.1400000000003</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3766208</v>
      </c>
      <c r="AT11" s="321">
        <v>0</v>
      </c>
      <c r="AU11" s="321">
        <v>10120150</v>
      </c>
      <c r="AV11" s="368"/>
      <c r="AW11" s="374"/>
    </row>
    <row r="12" spans="2:49" ht="15" customHeight="1" x14ac:dyDescent="0.2">
      <c r="B12" s="343" t="s">
        <v>282</v>
      </c>
      <c r="C12" s="331" t="s">
        <v>44</v>
      </c>
      <c r="D12" s="318">
        <v>-6204787</v>
      </c>
      <c r="E12" s="363"/>
      <c r="F12" s="363"/>
      <c r="G12" s="363"/>
      <c r="H12" s="363"/>
      <c r="I12" s="365"/>
      <c r="J12" s="318">
        <v>40490</v>
      </c>
      <c r="K12" s="363"/>
      <c r="L12" s="363"/>
      <c r="M12" s="363"/>
      <c r="N12" s="363"/>
      <c r="O12" s="365"/>
      <c r="P12" s="318">
        <v>-755725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9395995</v>
      </c>
      <c r="AT12" s="321">
        <v>0</v>
      </c>
      <c r="AU12" s="321">
        <v>-42573823</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15538874.83</v>
      </c>
      <c r="F15" s="319"/>
      <c r="G15" s="319"/>
      <c r="H15" s="319"/>
      <c r="I15" s="318">
        <v>15538875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8113929.1299999999</v>
      </c>
      <c r="F16" s="319"/>
      <c r="G16" s="319"/>
      <c r="H16" s="319"/>
      <c r="I16" s="318">
        <v>8113929</v>
      </c>
      <c r="J16" s="318"/>
      <c r="K16" s="319">
        <v>-2920145.77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-17300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17528702.289999999</v>
      </c>
      <c r="F20" s="319"/>
      <c r="G20" s="319"/>
      <c r="H20" s="319"/>
      <c r="I20" s="318">
        <v>17528702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126164182</v>
      </c>
      <c r="E23" s="362"/>
      <c r="F23" s="362"/>
      <c r="G23" s="362"/>
      <c r="H23" s="362"/>
      <c r="I23" s="364"/>
      <c r="J23" s="318">
        <v>309243203</v>
      </c>
      <c r="K23" s="362"/>
      <c r="L23" s="362"/>
      <c r="M23" s="362"/>
      <c r="N23" s="362"/>
      <c r="O23" s="364"/>
      <c r="P23" s="318">
        <v>425036210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878820718</v>
      </c>
      <c r="AT23" s="321">
        <v>340673</v>
      </c>
      <c r="AU23" s="321">
        <v>3962034119</v>
      </c>
      <c r="AV23" s="368"/>
      <c r="AW23" s="374"/>
    </row>
    <row r="24" spans="2:49" ht="28.5" customHeight="1" x14ac:dyDescent="0.2">
      <c r="B24" s="345" t="s">
        <v>114</v>
      </c>
      <c r="C24" s="331"/>
      <c r="D24" s="365"/>
      <c r="E24" s="319">
        <v>124541598.84</v>
      </c>
      <c r="F24" s="319">
        <v>2862518.72</v>
      </c>
      <c r="G24" s="319"/>
      <c r="H24" s="319"/>
      <c r="I24" s="318">
        <v>115788897</v>
      </c>
      <c r="J24" s="365"/>
      <c r="K24" s="319">
        <v>336741182.69999999</v>
      </c>
      <c r="L24" s="319">
        <v>25366716.84</v>
      </c>
      <c r="M24" s="319"/>
      <c r="N24" s="319"/>
      <c r="O24" s="318"/>
      <c r="P24" s="365"/>
      <c r="Q24" s="319">
        <v>458223851.93000001</v>
      </c>
      <c r="R24" s="319">
        <v>18278219.93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14324763</v>
      </c>
      <c r="E26" s="362"/>
      <c r="F26" s="362"/>
      <c r="G26" s="362"/>
      <c r="H26" s="362"/>
      <c r="I26" s="364"/>
      <c r="J26" s="318">
        <v>33740917</v>
      </c>
      <c r="K26" s="362"/>
      <c r="L26" s="362"/>
      <c r="M26" s="362"/>
      <c r="N26" s="362"/>
      <c r="O26" s="364"/>
      <c r="P26" s="318">
        <v>46324224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110343028</v>
      </c>
      <c r="AT26" s="321">
        <v>176</v>
      </c>
      <c r="AU26" s="321">
        <v>371103355</v>
      </c>
      <c r="AV26" s="368"/>
      <c r="AW26" s="374"/>
    </row>
    <row r="27" spans="2:49" s="5" customFormat="1" ht="25.5" x14ac:dyDescent="0.2">
      <c r="B27" s="345" t="s">
        <v>85</v>
      </c>
      <c r="C27" s="331"/>
      <c r="D27" s="365"/>
      <c r="E27" s="319">
        <v>2628295</v>
      </c>
      <c r="F27" s="319">
        <v>97383.54</v>
      </c>
      <c r="G27" s="319"/>
      <c r="H27" s="319"/>
      <c r="I27" s="318">
        <v>2499606</v>
      </c>
      <c r="J27" s="365"/>
      <c r="K27" s="319">
        <v>3234229.72</v>
      </c>
      <c r="L27" s="319">
        <v>671918.41</v>
      </c>
      <c r="M27" s="319"/>
      <c r="N27" s="319"/>
      <c r="O27" s="318"/>
      <c r="P27" s="365"/>
      <c r="Q27" s="319">
        <v>5624817.1100000003</v>
      </c>
      <c r="R27" s="319">
        <v>402000.39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19978398</v>
      </c>
      <c r="E28" s="363"/>
      <c r="F28" s="363"/>
      <c r="G28" s="363"/>
      <c r="H28" s="363"/>
      <c r="I28" s="365"/>
      <c r="J28" s="318">
        <v>27916586</v>
      </c>
      <c r="K28" s="363"/>
      <c r="L28" s="363"/>
      <c r="M28" s="363"/>
      <c r="N28" s="363"/>
      <c r="O28" s="365"/>
      <c r="P28" s="318">
        <v>37478361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102097589</v>
      </c>
      <c r="AT28" s="321">
        <v>338629</v>
      </c>
      <c r="AU28" s="321">
        <v>340402632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155832</v>
      </c>
      <c r="K30" s="362"/>
      <c r="L30" s="362"/>
      <c r="M30" s="362"/>
      <c r="N30" s="362"/>
      <c r="O30" s="364"/>
      <c r="P30" s="318">
        <v>4169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3106.37</v>
      </c>
      <c r="L31" s="319"/>
      <c r="M31" s="319"/>
      <c r="N31" s="319"/>
      <c r="O31" s="318"/>
      <c r="P31" s="365"/>
      <c r="Q31" s="319">
        <v>-25241.22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152727</v>
      </c>
      <c r="K32" s="363"/>
      <c r="L32" s="363"/>
      <c r="M32" s="363"/>
      <c r="N32" s="363"/>
      <c r="O32" s="365"/>
      <c r="P32" s="318">
        <v>29275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2391778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2391777.89</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11483506</v>
      </c>
      <c r="E36" s="319">
        <v>11483505.689999999</v>
      </c>
      <c r="F36" s="319"/>
      <c r="G36" s="319"/>
      <c r="H36" s="319"/>
      <c r="I36" s="318">
        <v>0</v>
      </c>
      <c r="J36" s="318">
        <v>0</v>
      </c>
      <c r="K36" s="319"/>
      <c r="L36" s="319"/>
      <c r="M36" s="319"/>
      <c r="N36" s="319"/>
      <c r="O36" s="318"/>
      <c r="P36" s="318">
        <v>0</v>
      </c>
      <c r="Q36" s="319">
        <v>-0.04</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-1285156</v>
      </c>
      <c r="E38" s="362"/>
      <c r="F38" s="362"/>
      <c r="G38" s="362"/>
      <c r="H38" s="362"/>
      <c r="I38" s="364"/>
      <c r="J38" s="318">
        <v>144888</v>
      </c>
      <c r="K38" s="362"/>
      <c r="L38" s="362"/>
      <c r="M38" s="362"/>
      <c r="N38" s="362"/>
      <c r="O38" s="364"/>
      <c r="P38" s="318">
        <v>1600094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4824256</v>
      </c>
      <c r="AT38" s="321">
        <v>0</v>
      </c>
      <c r="AU38" s="321">
        <v>-46883978</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-884317</v>
      </c>
      <c r="R39" s="319">
        <v>10011.14</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-17456189</v>
      </c>
      <c r="E41" s="362"/>
      <c r="F41" s="362"/>
      <c r="G41" s="362"/>
      <c r="H41" s="362"/>
      <c r="I41" s="364"/>
      <c r="J41" s="318">
        <v>4665</v>
      </c>
      <c r="K41" s="362"/>
      <c r="L41" s="362"/>
      <c r="M41" s="362"/>
      <c r="N41" s="362"/>
      <c r="O41" s="364"/>
      <c r="P41" s="318">
        <v>29945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3766208</v>
      </c>
      <c r="AT41" s="321">
        <v>0</v>
      </c>
      <c r="AU41" s="321">
        <v>10120150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-73233</v>
      </c>
      <c r="R42" s="319">
        <v>-4321.1400000000003</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-6204787</v>
      </c>
      <c r="E43" s="363"/>
      <c r="F43" s="363"/>
      <c r="G43" s="363"/>
      <c r="H43" s="363"/>
      <c r="I43" s="365"/>
      <c r="J43" s="318">
        <v>40490</v>
      </c>
      <c r="K43" s="363"/>
      <c r="L43" s="363"/>
      <c r="M43" s="363"/>
      <c r="N43" s="363"/>
      <c r="O43" s="365"/>
      <c r="P43" s="318">
        <v>-755725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9395995</v>
      </c>
      <c r="AT43" s="321">
        <v>0</v>
      </c>
      <c r="AU43" s="321">
        <v>-42573823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446</v>
      </c>
      <c r="K45" s="319"/>
      <c r="L45" s="319"/>
      <c r="M45" s="319"/>
      <c r="N45" s="319"/>
      <c r="O45" s="318"/>
      <c r="P45" s="318">
        <v>1517</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2165803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1654575</v>
      </c>
      <c r="AV46" s="368"/>
      <c r="AW46" s="374"/>
    </row>
    <row r="47" spans="2:49" x14ac:dyDescent="0.2">
      <c r="B47" s="343" t="s">
        <v>117</v>
      </c>
      <c r="C47" s="331" t="s">
        <v>32</v>
      </c>
      <c r="D47" s="318">
        <v>0</v>
      </c>
      <c r="E47" s="363"/>
      <c r="F47" s="363"/>
      <c r="G47" s="363"/>
      <c r="H47" s="363"/>
      <c r="I47" s="365"/>
      <c r="J47" s="318">
        <v>446</v>
      </c>
      <c r="K47" s="363"/>
      <c r="L47" s="363"/>
      <c r="M47" s="363"/>
      <c r="N47" s="363"/>
      <c r="O47" s="365"/>
      <c r="P47" s="318">
        <v>1517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1286631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793660</v>
      </c>
      <c r="E49" s="319">
        <v>2228730.58</v>
      </c>
      <c r="F49" s="319"/>
      <c r="G49" s="319"/>
      <c r="H49" s="319"/>
      <c r="I49" s="318">
        <v>2012416</v>
      </c>
      <c r="J49" s="318">
        <v>4165965</v>
      </c>
      <c r="K49" s="319">
        <v>10859627.779999999</v>
      </c>
      <c r="L49" s="319"/>
      <c r="M49" s="319"/>
      <c r="N49" s="319"/>
      <c r="O49" s="318"/>
      <c r="P49" s="318">
        <v>2125091</v>
      </c>
      <c r="Q49" s="319">
        <v>12998429.279999999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6446556</v>
      </c>
      <c r="AT49" s="321">
        <v>-262</v>
      </c>
      <c r="AU49" s="321">
        <v>54722296</v>
      </c>
      <c r="AV49" s="368"/>
      <c r="AW49" s="374"/>
    </row>
    <row r="50" spans="2:49" x14ac:dyDescent="0.2">
      <c r="B50" s="343" t="s">
        <v>119</v>
      </c>
      <c r="C50" s="331" t="s">
        <v>34</v>
      </c>
      <c r="D50" s="318">
        <v>230384</v>
      </c>
      <c r="E50" s="363"/>
      <c r="F50" s="363"/>
      <c r="G50" s="363"/>
      <c r="H50" s="363"/>
      <c r="I50" s="365"/>
      <c r="J50" s="318">
        <v>2051239</v>
      </c>
      <c r="K50" s="363"/>
      <c r="L50" s="363"/>
      <c r="M50" s="363"/>
      <c r="N50" s="363"/>
      <c r="O50" s="365"/>
      <c r="P50" s="318">
        <v>1373174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25077</v>
      </c>
      <c r="AT50" s="321">
        <v>4</v>
      </c>
      <c r="AU50" s="321">
        <v>32560699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924977.73</v>
      </c>
      <c r="L53" s="319">
        <v>-1023070.84</v>
      </c>
      <c r="M53" s="319"/>
      <c r="N53" s="319"/>
      <c r="O53" s="318"/>
      <c r="P53" s="318">
        <v>0</v>
      </c>
      <c r="Q53" s="319">
        <v>-1247427.8700000001</v>
      </c>
      <c r="R53" s="319">
        <v>-137161.32999999999</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98318985</v>
      </c>
      <c r="E54" s="323">
        <f>E24+E27+E31+E35-E36+E39+E42+E45+E46-E49+E51+E52+E53</f>
        <v>115849435.46000001</v>
      </c>
      <c r="F54" s="323">
        <f>F24+F27+F31+F35-F36+F39+F42+F45+F46-F49+F51+F52+F53</f>
        <v>2959902.2600000002</v>
      </c>
      <c r="G54" s="323">
        <f>G24+G27+G31+G35-G36+G39+G42+G45+G46-G49+G51+G52+G53</f>
        <v>0</v>
      </c>
      <c r="H54" s="323">
        <f>H24+H27+H31+H35-H36+H39+H42+H45+H46-H49+H51+H52+H53</f>
        <v>0</v>
      </c>
      <c r="I54" s="322">
        <f>I24+I27+I31+I35-I36+I39+I42+I45+I46-I49+I51+I52+I53</f>
        <v>116276087</v>
      </c>
      <c r="J54" s="322">
        <f>J23+J26-J28+J30-J32+J34-J36+J38+J41-J43+J45+J46-J47-J49+J50+J51+J52+J53</f>
        <v>313064976</v>
      </c>
      <c r="K54" s="323">
        <f>K24+K27+K31+K35-K36+K39+K42+K45+K46-K49+K51+K52+K53</f>
        <v>330043868.74000007</v>
      </c>
      <c r="L54" s="323">
        <f>L24+L27+L31+L35-L36+L39+L42+L45+L46-L49+L51+L52+L53</f>
        <v>25015564.41</v>
      </c>
      <c r="M54" s="323">
        <f>M24+M27+M31+M35-M36+M39+M42+M45+M46-M49+M51+M52+M53</f>
        <v>0</v>
      </c>
      <c r="N54" s="323">
        <f>N24+N27+N31+N35-N36+N39+N42+N45+N46-N49+N51+N52+N53</f>
        <v>0</v>
      </c>
      <c r="O54" s="322">
        <f>O24+O27+O31+O35-O36+O39+O42+O45+O46-O49+O51+O52+O53</f>
        <v>0</v>
      </c>
      <c r="P54" s="322">
        <f>P23+P26-P28+P30-P32+P34-P36+P38+P41-P43+P45+P46-P47-P49+P50+P51+P52+P53</f>
        <v>435490814</v>
      </c>
      <c r="Q54" s="323">
        <f>Q24+Q27+Q31+Q35-Q36+Q39+Q42+Q45+Q46-Q49+Q51+Q52+Q53</f>
        <v>448620020.71000004</v>
      </c>
      <c r="R54" s="323">
        <f>R24+R27+R31+R35-R36+R39+R42+R45+R46-R49+R51+R52+R53</f>
        <v>18548748.990000002</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879839147</v>
      </c>
      <c r="AT54" s="324">
        <f>AT23+AT26-AT28+AT30-AT32+AT34-AT36+AT38+AT41-AT43+AT45+AT46-AT47-AT49+AT50+AT51+AT52+AT53</f>
        <v>2486</v>
      </c>
      <c r="AU54" s="324">
        <f>AU23+AU26-AU28+AU30-AU32+AU34-AU36+AU38+AU41-AU43+AU45+AU46-AU47-AU49+AU50+AU51+AU52+AU53</f>
        <v>3978916987</v>
      </c>
      <c r="AV54" s="368"/>
      <c r="AW54" s="374"/>
    </row>
    <row r="55" spans="2:49" ht="25.5" x14ac:dyDescent="0.2">
      <c r="B55" s="348" t="s">
        <v>493</v>
      </c>
      <c r="C55" s="335" t="s">
        <v>28</v>
      </c>
      <c r="D55" s="322">
        <f t="shared" ref="D55:AC55" si="0">MIN(MAX(0,D56),MAX(0,D57))</f>
        <v>182498.79</v>
      </c>
      <c r="E55" s="323">
        <f t="shared" si="0"/>
        <v>184895.29</v>
      </c>
      <c r="F55" s="323">
        <f t="shared" si="0"/>
        <v>1910.87</v>
      </c>
      <c r="G55" s="323">
        <f t="shared" si="0"/>
        <v>0</v>
      </c>
      <c r="H55" s="323">
        <f t="shared" si="0"/>
        <v>0</v>
      </c>
      <c r="I55" s="322">
        <f t="shared" si="0"/>
        <v>162929</v>
      </c>
      <c r="J55" s="322">
        <f t="shared" si="0"/>
        <v>590580.67000000004</v>
      </c>
      <c r="K55" s="323">
        <f t="shared" si="0"/>
        <v>617329.30000000005</v>
      </c>
      <c r="L55" s="323">
        <f t="shared" si="0"/>
        <v>42878.41</v>
      </c>
      <c r="M55" s="323">
        <f t="shared" si="0"/>
        <v>0</v>
      </c>
      <c r="N55" s="323">
        <f t="shared" si="0"/>
        <v>0</v>
      </c>
      <c r="O55" s="322">
        <f t="shared" si="0"/>
        <v>0</v>
      </c>
      <c r="P55" s="322">
        <f t="shared" si="0"/>
        <v>731315.32</v>
      </c>
      <c r="Q55" s="323">
        <f t="shared" si="0"/>
        <v>780896.06</v>
      </c>
      <c r="R55" s="323">
        <f t="shared" si="0"/>
        <v>31635.56</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182498.79</v>
      </c>
      <c r="E56" s="319">
        <v>184895.29</v>
      </c>
      <c r="F56" s="319">
        <v>2396.92</v>
      </c>
      <c r="G56" s="319"/>
      <c r="H56" s="319"/>
      <c r="I56" s="318">
        <v>162929</v>
      </c>
      <c r="J56" s="318">
        <v>590580.67000000004</v>
      </c>
      <c r="K56" s="319">
        <v>617329.30000000005</v>
      </c>
      <c r="L56" s="319">
        <v>42878.41</v>
      </c>
      <c r="M56" s="319"/>
      <c r="N56" s="319"/>
      <c r="O56" s="318"/>
      <c r="P56" s="318">
        <v>731315.32</v>
      </c>
      <c r="Q56" s="319">
        <v>780896.06</v>
      </c>
      <c r="R56" s="319">
        <v>33450.959999999999</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225075</v>
      </c>
      <c r="E57" s="319">
        <v>226985.78</v>
      </c>
      <c r="F57" s="319">
        <v>1910.87</v>
      </c>
      <c r="G57" s="319"/>
      <c r="H57" s="319"/>
      <c r="I57" s="318">
        <v>170380</v>
      </c>
      <c r="J57" s="318">
        <v>707564</v>
      </c>
      <c r="K57" s="319">
        <v>754288.49</v>
      </c>
      <c r="L57" s="319">
        <v>46724.25</v>
      </c>
      <c r="M57" s="319"/>
      <c r="N57" s="319"/>
      <c r="O57" s="318"/>
      <c r="P57" s="318">
        <v>1478184</v>
      </c>
      <c r="Q57" s="319">
        <v>1509818.54</v>
      </c>
      <c r="R57" s="319">
        <v>31635.56</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104480</v>
      </c>
      <c r="AT57" s="321">
        <v>269</v>
      </c>
      <c r="AU57" s="321">
        <v>24332406</v>
      </c>
      <c r="AV57" s="321">
        <v>0</v>
      </c>
      <c r="AW57" s="374"/>
    </row>
    <row r="58" spans="2:49" s="5" customFormat="1" x14ac:dyDescent="0.2">
      <c r="B58" s="351" t="s">
        <v>494</v>
      </c>
      <c r="C58" s="352"/>
      <c r="D58" s="353"/>
      <c r="E58" s="354">
        <v>3351658.56</v>
      </c>
      <c r="F58" s="354"/>
      <c r="G58" s="354"/>
      <c r="H58" s="354"/>
      <c r="I58" s="353">
        <v>4006397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21" yWindow="57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49860795.780000001</v>
      </c>
      <c r="D5" s="403">
        <v>143582990.88999999</v>
      </c>
      <c r="E5" s="454"/>
      <c r="F5" s="454"/>
      <c r="G5" s="448"/>
      <c r="H5" s="402">
        <v>238851740.06</v>
      </c>
      <c r="I5" s="403">
        <v>283668390</v>
      </c>
      <c r="J5" s="454"/>
      <c r="K5" s="454"/>
      <c r="L5" s="448"/>
      <c r="M5" s="402">
        <v>475661716.81999999</v>
      </c>
      <c r="N5" s="403">
        <v>438678746.50999999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49644734.869999997</v>
      </c>
      <c r="D6" s="398">
        <v>142952322.43000001</v>
      </c>
      <c r="E6" s="400">
        <f>SUM('Pt 1 Summary of Data'!E$12,'Pt 1 Summary of Data'!E$22)+SUM('Pt 1 Summary of Data'!G$12,'Pt 1 Summary of Data'!G$22)-SUM('Pt 1 Summary of Data'!H$12,'Pt 1 Summary of Data'!H$22)</f>
        <v>116034330.75000001</v>
      </c>
      <c r="F6" s="400">
        <f t="shared" ref="F6:F11" si="0">SUM(C6:E6)</f>
        <v>308631388.05000001</v>
      </c>
      <c r="G6" s="401">
        <f>SUM('Pt 1 Summary of Data'!I$12,'Pt 1 Summary of Data'!I$22)</f>
        <v>116439016</v>
      </c>
      <c r="H6" s="397">
        <v>238605637.78</v>
      </c>
      <c r="I6" s="398">
        <v>279094879.20999998</v>
      </c>
      <c r="J6" s="400">
        <f>SUM('Pt 1 Summary of Data'!K$12,'Pt 1 Summary of Data'!K$22)+SUM('Pt 1 Summary of Data'!M$12,'Pt 1 Summary of Data'!M$22)-SUM('Pt 1 Summary of Data'!N$12,'Pt 1 Summary of Data'!N$22)</f>
        <v>330661198.04000008</v>
      </c>
      <c r="K6" s="400">
        <f>SUM(H6:J6)</f>
        <v>848361715.03000009</v>
      </c>
      <c r="L6" s="401">
        <f>SUM('Pt 1 Summary of Data'!O$12,'Pt 1 Summary of Data'!O$22)</f>
        <v>0</v>
      </c>
      <c r="M6" s="397">
        <v>475632724.89999998</v>
      </c>
      <c r="N6" s="398">
        <v>443507570.20999998</v>
      </c>
      <c r="O6" s="400">
        <f>SUM('Pt 1 Summary of Data'!Q$12,'Pt 1 Summary of Data'!Q$22)+SUM('Pt 1 Summary of Data'!S$12,'Pt 1 Summary of Data'!S$22)-SUM('Pt 1 Summary of Data'!T$12,'Pt 1 Summary of Data'!T$22)</f>
        <v>449400916.77000004</v>
      </c>
      <c r="P6" s="400">
        <f>SUM(M6:O6)</f>
        <v>1368541211.8799999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1181775.8600000001</v>
      </c>
      <c r="D7" s="398">
        <v>1296054.33</v>
      </c>
      <c r="E7" s="400">
        <f>SUM('Pt 1 Summary of Data'!E$37:E$41)+SUM('Pt 1 Summary of Data'!G$37:G$41)-SUM('Pt 1 Summary of Data'!H$37:H$41)+MAX(0,MIN('Pt 1 Summary of Data'!E$42+'Pt 1 Summary of Data'!G$42-'Pt 1 Summary of Data'!H$42,0.3%*('Pt 1 Summary of Data'!E$5+'Pt 1 Summary of Data'!G$5-'Pt 1 Summary of Data'!H$5-SUM(E$9:E$11))))</f>
        <v>877000.06</v>
      </c>
      <c r="F7" s="400">
        <f t="shared" si="0"/>
        <v>3354830.2500000005</v>
      </c>
      <c r="G7" s="401">
        <f>SUM('Pt 1 Summary of Data'!I$37:I$41)+MAX(0,MIN(VALUE('Pt 1 Summary of Data'!I$42),0.3%*('Pt 1 Summary of Data'!I$5-SUM(G$9:G$10))))</f>
        <v>694146</v>
      </c>
      <c r="H7" s="397">
        <v>6820576.8799999999</v>
      </c>
      <c r="I7" s="398">
        <v>7418971.7400000002</v>
      </c>
      <c r="J7" s="400">
        <f>SUM('Pt 1 Summary of Data'!K$37:K$41)+SUM('Pt 1 Summary of Data'!M$37:M$41)-SUM('Pt 1 Summary of Data'!N$37:N$41)+MAX(0,MIN('Pt 1 Summary of Data'!K$42+'Pt 1 Summary of Data'!M$42-'Pt 1 Summary of Data'!N$42,0.3%*('Pt 1 Summary of Data'!K$5+'Pt 1 Summary of Data'!M$5-'Pt 1 Summary of Data'!N$5-SUM(J$10:J$11))))</f>
        <v>6464528.9000000004</v>
      </c>
      <c r="K7" s="400">
        <f>SUM(H7:J7)</f>
        <v>20704077.520000003</v>
      </c>
      <c r="L7" s="401">
        <f>SUM('Pt 1 Summary of Data'!O$37:O$41)+MAX(0,MIN(VALUE('Pt 1 Summary of Data'!O$42),0.3%*('Pt 1 Summary of Data'!O$5-L$10)))</f>
        <v>0</v>
      </c>
      <c r="M7" s="397">
        <v>10832587.15</v>
      </c>
      <c r="N7" s="398">
        <v>9296379.1199999992</v>
      </c>
      <c r="O7" s="400">
        <f>SUM('Pt 1 Summary of Data'!Q$37:Q$41)+SUM('Pt 1 Summary of Data'!S$37:S$41)-SUM('Pt 1 Summary of Data'!T$37:T$41)+MAX(0,MIN('Pt 1 Summary of Data'!Q$42+'Pt 1 Summary of Data'!S$42-'Pt 1 Summary of Data'!T$42,0.3%*('Pt 1 Summary of Data'!Q$5+'Pt 1 Summary of Data'!S$5-'Pt 1 Summary of Data'!T$5)))</f>
        <v>8578480.9299999997</v>
      </c>
      <c r="P7" s="400">
        <f>SUM(M7:O7)</f>
        <v>28707447.199999999</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4872234.18</v>
      </c>
      <c r="E8" s="400">
        <f>'Pt 2 Premium and Claims'!E58+'Pt 2 Premium and Claims'!G58-'Pt 2 Premium and Claims'!H58</f>
        <v>3351658.56</v>
      </c>
      <c r="F8" s="400">
        <f t="shared" si="0"/>
        <v>8223892.7400000002</v>
      </c>
      <c r="G8" s="401">
        <f>'Pt 2 Premium and Claims'!I58</f>
        <v>4006397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22524616.039999999</v>
      </c>
      <c r="E9" s="400">
        <f>'Pt 2 Premium and Claims'!E$15+'Pt 2 Premium and Claims'!G$15-'Pt 2 Premium and Claims'!H$15</f>
        <v>15538874.83</v>
      </c>
      <c r="F9" s="400">
        <f t="shared" si="0"/>
        <v>38063490.869999997</v>
      </c>
      <c r="G9" s="401">
        <f>'Pt 2 Premium and Claims'!I$15</f>
        <v>15538875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6147169.1900000004</v>
      </c>
      <c r="E10" s="400">
        <f>'Pt 2 Premium and Claims'!E$16+'Pt 2 Premium and Claims'!G$16-'Pt 2 Premium and Claims'!H$16</f>
        <v>8113929.1299999999</v>
      </c>
      <c r="F10" s="400">
        <f t="shared" si="0"/>
        <v>14261098.32</v>
      </c>
      <c r="G10" s="401">
        <f>'Pt 2 Premium and Claims'!I$16</f>
        <v>8113929</v>
      </c>
      <c r="H10" s="443"/>
      <c r="I10" s="398">
        <v>-7019460.9299999997</v>
      </c>
      <c r="J10" s="400">
        <f>'Pt 2 Premium and Claims'!K$16+'Pt 2 Premium and Claims'!M$16-'Pt 2 Premium and Claims'!N$16</f>
        <v>-2920145.77</v>
      </c>
      <c r="K10" s="400">
        <f>SUM(H10:J10)</f>
        <v>-9939606.6999999993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1440869.6</v>
      </c>
      <c r="E11" s="400">
        <f>'Pt 2 Premium and Claims'!E$17+'Pt 2 Premium and Claims'!G$17-'Pt 2 Premium and Claims'!H$17</f>
        <v>-17300</v>
      </c>
      <c r="F11" s="400">
        <f t="shared" si="0"/>
        <v>1423569.6</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50826510.729999997</v>
      </c>
      <c r="D12" s="400">
        <f>SUM(D$6:D$7) - SUM(D$8:D$11)+IF(AND(OR('Company Information'!$C$12="District of Columbia",'Company Information'!$C$12="Massachusetts",'Company Information'!$C$12="Vermont"),SUM($C$6:$F$11,$C$15:$F$16,$C$38:$D$38)&lt;&gt;0),SUM(I$6:I$7) - SUM(I$10:I$11),0)</f>
        <v>109263487.75000003</v>
      </c>
      <c r="E12" s="400">
        <f>SUM(E$6:E$7)-SUM(E$8:E$11)+IF(AND(OR('Company Information'!$C$12="District of Columbia",'Company Information'!$C$12="Massachusetts",'Company Information'!$C$12="Vermont"),SUM($C$6:$F$11,$C$15:$F$16,$C$38:$D$38)&lt;&gt;0),SUM(J$6:J$7)-SUM(J$10:J$11),0)</f>
        <v>89924168.290000021</v>
      </c>
      <c r="F12" s="400">
        <f>IFERROR(SUM(C$12:E$12)+C$17*MAX(0,E$50-C$50)+D$17*MAX(0,E$50-D$50),0)</f>
        <v>250014166.77000004</v>
      </c>
      <c r="G12" s="447"/>
      <c r="H12" s="399">
        <f>SUM(H$6:H$7)+IF(AND(OR('Company Information'!$C$12="District of Columbia",'Company Information'!$C$12="Massachusetts",'Company Information'!$C$12="Vermont"),SUM($H$6:$K$11,$H$15:$K$16,$H$38:$I$38)&lt;&gt;0),SUM(C$6:C$7),0)</f>
        <v>245426214.66</v>
      </c>
      <c r="I12" s="400">
        <f>SUM(I$6:I$7) - SUM(I$10:I$11)+IF(AND(OR('Company Information'!$C$12="District of Columbia",'Company Information'!$C$12="Massachusetts",'Company Information'!$C$12="Vermont"),SUM($H$6:$K$11,$H$15:$K$16,$H$38:$I$38)&lt;&gt;0),SUM(D$6:D$7) - SUM(D$8:D$11),0)</f>
        <v>293533311.88</v>
      </c>
      <c r="J12" s="400">
        <f>SUM(J$6:J$7)-SUM(J$10:J$11)+IF(AND(OR('Company Information'!$C$12="District of Columbia",'Company Information'!$C$12="Massachusetts",'Company Information'!$C$12="Vermont"),SUM($H$6:$K$11,$H$15:$K$16,$H$38:$I$38)&lt;&gt;0),SUM(E$6:E$7)-SUM(E$8:E$11),0)</f>
        <v>340045872.71000004</v>
      </c>
      <c r="K12" s="400">
        <f>IFERROR(SUM(H$12:J$12)+H$17*MAX(0,J$50-H$50)+I$17*MAX(0,J$50-I$50),0)</f>
        <v>879005399.25</v>
      </c>
      <c r="L12" s="447"/>
      <c r="M12" s="399">
        <f>SUM(M$6:M$7)</f>
        <v>486465312.04999995</v>
      </c>
      <c r="N12" s="400">
        <f>SUM(N$6:N$7)</f>
        <v>452803949.32999998</v>
      </c>
      <c r="O12" s="400">
        <f>SUM(O$6:O$7)</f>
        <v>457979397.70000005</v>
      </c>
      <c r="P12" s="400">
        <f>SUM(M$12:O$12)+M$17*MAX(0,O$50-M$50)+N$17*MAX(0,O$50-N$50)</f>
        <v>1397248659.0799999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61367385.829999998</v>
      </c>
      <c r="D15" s="403">
        <v>122175681.54000001</v>
      </c>
      <c r="E15" s="395">
        <f>SUM('Pt 1 Summary of Data'!E$5:E$7)+SUM('Pt 1 Summary of Data'!G$5:G$7)-SUM('Pt 1 Summary of Data'!H$5:H$7)-SUM(E$9:E$11)</f>
        <v>103817170.34999999</v>
      </c>
      <c r="F15" s="395">
        <f>SUM(C15:E15)</f>
        <v>287360237.72000003</v>
      </c>
      <c r="G15" s="396">
        <f>SUM('Pt 1 Summary of Data'!I$5:I$7)-SUM(G$9:G$10)</f>
        <v>92217857</v>
      </c>
      <c r="H15" s="402">
        <v>310269596.38</v>
      </c>
      <c r="I15" s="403">
        <v>354261271.57999998</v>
      </c>
      <c r="J15" s="395">
        <f>SUM('Pt 1 Summary of Data'!K$5:K$7)+SUM('Pt 1 Summary of Data'!M$5:M$7)-SUM('Pt 1 Summary of Data'!N$5:N$7)-SUM(J$10:J$11)</f>
        <v>409038653.08999997</v>
      </c>
      <c r="K15" s="395">
        <f>SUM(H15:J15)</f>
        <v>1073569521.05</v>
      </c>
      <c r="L15" s="396">
        <f>SUM('Pt 1 Summary of Data'!O$5:O$7)-L$10</f>
        <v>0</v>
      </c>
      <c r="M15" s="402">
        <v>568723768.21000004</v>
      </c>
      <c r="N15" s="403">
        <v>528579348.80000001</v>
      </c>
      <c r="O15" s="395">
        <f>SUM('Pt 1 Summary of Data'!Q$5:Q$7)+SUM('Pt 1 Summary of Data'!S$5:S$7)-SUM('Pt 1 Summary of Data'!T$5:T$7)+N$56</f>
        <v>534591733.18000001</v>
      </c>
      <c r="P15" s="395">
        <f>SUM(M15:O15)</f>
        <v>1631894850.1900001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-706567.54</v>
      </c>
      <c r="D16" s="398">
        <v>4660531.43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4827998.78</v>
      </c>
      <c r="F16" s="400">
        <f>SUM(C16:E16)</f>
        <v>8781962.6699999999</v>
      </c>
      <c r="G16" s="401">
        <f>SUM('Pt 1 Summary of Data'!I$25:I$28,'Pt 1 Summary of Data'!I$30,'Pt 1 Summary of Data'!I$34:I$35)+IF('Company Information'!$C$15="No",IF(MAX('Pt 1 Summary of Data'!I$31:I$32)=0,MIN('Pt 1 Summary of Data'!I$31:I$32),MAX('Pt 1 Summary of Data'!I$31:I$32)),SUM('Pt 1 Summary of Data'!I$31:I$32))</f>
        <v>-80366</v>
      </c>
      <c r="H16" s="397">
        <v>6746495.21</v>
      </c>
      <c r="I16" s="398">
        <v>13610363.82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12977173.459999999</v>
      </c>
      <c r="K16" s="400">
        <f>SUM(H16:J16)</f>
        <v>33334032.490000002</v>
      </c>
      <c r="L16" s="401">
        <f>SUM('Pt 1 Summary of Data'!O$25:O$28,'Pt 1 Summary of Data'!O$30,'Pt 1 Summary of Data'!O$34:O$35)+IF('Company Information'!$C$15="No",IF(MAX('Pt 1 Summary of Data'!O$31:O$32)=0,MIN('Pt 1 Summary of Data'!O$31:O$32),MAX('Pt 1 Summary of Data'!O$31:O$32)),SUM('Pt 1 Summary of Data'!O$31:O$32))</f>
        <v>0</v>
      </c>
      <c r="M16" s="397">
        <v>9929887.8100000005</v>
      </c>
      <c r="N16" s="398">
        <v>19158111.18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26057637.409999996</v>
      </c>
      <c r="P16" s="400">
        <f>SUM(M16:O16)</f>
        <v>55145636.399999999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62073953.369999997</v>
      </c>
      <c r="D17" s="400">
        <f>D$15-D$16+IF(AND(OR('Company Information'!$C$12="District of Columbia",'Company Information'!$C$12="Massachusetts",'Company Information'!$C$12="Vermont"),SUM($C$6:$F$11,$C$15:$F$16,$C$38:$D$38)&lt;&gt;0),I$15-I$16,0)</f>
        <v>117515150.11000001</v>
      </c>
      <c r="E17" s="400">
        <f>E$15-E$16+IF(AND(OR('Company Information'!$C$12="District of Columbia",'Company Information'!$C$12="Massachusetts",'Company Information'!$C$12="Vermont"),SUM($C$6:$F$11,$C$15:$F$16,$C$38:$D$38)&lt;&gt;0),J$15-J$16,0)</f>
        <v>98989171.569999993</v>
      </c>
      <c r="F17" s="400">
        <f>F$15-F$16+IF(AND(OR('Company Information'!$C$12="District of Columbia",'Company Information'!$C$12="Massachusetts",'Company Information'!$C$12="Vermont"),SUM($C$6:$F$11,$C$15:$F$16,$C$38:$D$38)&lt;&gt;0),K$15-K$16,0)</f>
        <v>278578275.05000001</v>
      </c>
      <c r="G17" s="450"/>
      <c r="H17" s="399">
        <f>H$15-H$16+IF(AND(OR('Company Information'!$C$12="District of Columbia",'Company Information'!$C$12="Massachusetts",'Company Information'!$C$12="Vermont"),SUM($H$6:$K$11,$H$15:$K$16,$H$38:$I$38)&lt;&gt;0),C$15-C$16,0)</f>
        <v>303523101.17000002</v>
      </c>
      <c r="I17" s="400">
        <f>I$15-I$16+IF(AND(OR('Company Information'!$C$12="District of Columbia",'Company Information'!$C$12="Massachusetts",'Company Information'!$C$12="Vermont"),SUM($H$6:$K$11,$H$15:$K$16,$H$38:$I$38)&lt;&gt;0),D$15-D$16,0)</f>
        <v>340650907.75999999</v>
      </c>
      <c r="J17" s="400">
        <f>J$15-J$16+IF(AND(OR('Company Information'!$C$12="District of Columbia",'Company Information'!$C$12="Massachusetts",'Company Information'!$C$12="Vermont"),SUM($H$6:$K$11,$H$15:$K$16,$H$38:$I$38)&lt;&gt;0),E$15-E$16,0)</f>
        <v>396061479.63</v>
      </c>
      <c r="K17" s="400">
        <f>K$15-K$16+IF(AND(OR('Company Information'!$C$12="District of Columbia",'Company Information'!$C$12="Massachusetts",'Company Information'!$C$12="Vermont"),SUM($H$6:$K$11,$H$15:$K$16,$H$38:$I$38)&lt;&gt;0),F$15-F$16,0)</f>
        <v>1040235488.5599999</v>
      </c>
      <c r="L17" s="450"/>
      <c r="M17" s="399">
        <f>M$15-M$16</f>
        <v>558793880.4000001</v>
      </c>
      <c r="N17" s="400">
        <f>N$15-N$16</f>
        <v>509421237.62</v>
      </c>
      <c r="O17" s="400">
        <f>O$15-O$16</f>
        <v>508534095.76999998</v>
      </c>
      <c r="P17" s="400">
        <f>P$15-P$16</f>
        <v>1576749213.79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88437197</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12800812</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4614911.1500000004</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-8939786</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4614911.1500000004</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2768946.69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17335357.149999999</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17335357.149999999</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20225243.059999999</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74882499.849999994</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15489392.689999999</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2768946.69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15489392.689999999</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18379278.600000001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76728464.310000002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1.1525995964508571</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6408486.0739799999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4469134.0739799999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32753</v>
      </c>
      <c r="D38" s="405">
        <v>46212.09</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29753.75</v>
      </c>
      <c r="F38" s="432">
        <f>SUM(C$38:E$38)+IF(AND(OR('Company Information'!$C$12="District of Columbia",'Company Information'!$C$12="Massachusetts",'Company Information'!$C$12="Vermont"),SUM($C$6:$F$11,$C$15:$F$16,$C$38:$D$38)&lt;&gt;0,SUM(C$38:D$38)&lt;&gt;SUM(H$38:I$38)),SUM(H$38:I$38),0)</f>
        <v>108718.84</v>
      </c>
      <c r="G38" s="448"/>
      <c r="H38" s="404">
        <v>79957</v>
      </c>
      <c r="I38" s="405">
        <v>88727.33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94484.75</v>
      </c>
      <c r="K38" s="432">
        <f>SUM(H$38:J$38)+IF(AND(OR('Company Information'!$C$12="District of Columbia",'Company Information'!$C$12="Massachusetts",'Company Information'!$C$12="Vermont"),SUM($H$6:$K$11,$H$15:$K$16,$H$38:$I$38)&lt;&gt;0,SUM(H$38:I$38)&lt;&gt;SUM(C$38:D$38)),SUM(C$38:D$38),0)</f>
        <v>263169.08</v>
      </c>
      <c r="L38" s="448"/>
      <c r="M38" s="404">
        <v>124477</v>
      </c>
      <c r="N38" s="405">
        <v>109992.08</v>
      </c>
      <c r="O38" s="432">
        <f>('Pt 1 Summary of Data'!Q$59+'Pt 1 Summary of Data'!S$59-'Pt 1 Summary of Data'!T$59)/12</f>
        <v>108817.5</v>
      </c>
      <c r="P38" s="432">
        <f>SUM(M$38:O$38)</f>
        <v>343286.58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30921</v>
      </c>
      <c r="G40" s="447"/>
      <c r="H40" s="443"/>
      <c r="I40" s="441"/>
      <c r="J40" s="441"/>
      <c r="K40" s="398">
        <v>16105</v>
      </c>
      <c r="L40" s="447"/>
      <c r="M40" s="443"/>
      <c r="N40" s="441"/>
      <c r="O40" s="441"/>
      <c r="P40" s="398">
        <v>16079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1.736</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1.736</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0.81880576265284521</v>
      </c>
      <c r="D45" s="436">
        <f>IF(OR(D$38&lt;1000,D$17&lt;=0),"",D$12/D$17)</f>
        <v>0.92978213998555914</v>
      </c>
      <c r="E45" s="436">
        <f>IF(OR(E$38&lt;1000,E$17&lt;=0),"",E$12/E$17)</f>
        <v>0.9084242939280518</v>
      </c>
      <c r="F45" s="436">
        <f>IF(OR(F$38&lt;1000,F$17&lt;=0),"",F$12/F$17)</f>
        <v>0.8974646954258253</v>
      </c>
      <c r="G45" s="447"/>
      <c r="H45" s="438">
        <f>IF(OR(H$38&lt;1000,H$17&lt;=0),"",H$12/H$17)</f>
        <v>0.80859154942061373</v>
      </c>
      <c r="I45" s="436">
        <f>IF(OR(I$38&lt;1000,I$17&lt;=0),"",I$12/I$17)</f>
        <v>0.86168363328361974</v>
      </c>
      <c r="J45" s="436">
        <f>IF(OR(J$38&lt;1000,J$17&lt;=0),"",J$12/J$17)</f>
        <v>0.85856840465189987</v>
      </c>
      <c r="K45" s="436">
        <f>IF(OR(K$38&lt;1000,K$17&lt;=0),"",K$12/K$17)</f>
        <v>0.84500616342825308</v>
      </c>
      <c r="L45" s="447"/>
      <c r="M45" s="438">
        <f>IF(OR(M$38&lt;1000,M$17&lt;=0),"",M$12/M$17)</f>
        <v>0.87056306289856766</v>
      </c>
      <c r="N45" s="436">
        <f>IF(OR(N$38&lt;1000,N$17&lt;=0),"",N$12/N$17)</f>
        <v>0.88885958395744513</v>
      </c>
      <c r="O45" s="436">
        <f>IF(OR(O$38&lt;1000,O$17&lt;=0),"",O$12/O$17)</f>
        <v>0.90058739720597847</v>
      </c>
      <c r="P45" s="436">
        <f>IF(OR(P$38&lt;1000,P$17&lt;=0),"",P$12/P$17)</f>
        <v>0.88615782830895584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0.89700000000000002</v>
      </c>
      <c r="G48" s="447"/>
      <c r="H48" s="443"/>
      <c r="I48" s="441"/>
      <c r="J48" s="441"/>
      <c r="K48" s="436">
        <f>IF(K$45="","",ROUND(K$45+MAX(0,K$47),3))</f>
        <v>0.84499999999999997</v>
      </c>
      <c r="L48" s="447"/>
      <c r="M48" s="443"/>
      <c r="N48" s="441"/>
      <c r="O48" s="441"/>
      <c r="P48" s="436">
        <f>IF(P$45="","",ROUND(P$45+MAX(0,P$47),3))</f>
        <v>0.88600000000000001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0.89700000000000002</v>
      </c>
      <c r="G51" s="447"/>
      <c r="H51" s="444"/>
      <c r="I51" s="442"/>
      <c r="J51" s="442"/>
      <c r="K51" s="436">
        <f>K$48</f>
        <v>0.84499999999999997</v>
      </c>
      <c r="L51" s="447"/>
      <c r="M51" s="444"/>
      <c r="N51" s="442"/>
      <c r="O51" s="442"/>
      <c r="P51" s="436">
        <f>P$48</f>
        <v>0.88600000000000001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98989171.569999993</v>
      </c>
      <c r="G52" s="447"/>
      <c r="H52" s="443"/>
      <c r="I52" s="441"/>
      <c r="J52" s="441"/>
      <c r="K52" s="400">
        <f>IF(K$38&lt;1000,"",MAX(0,J$15-J$16))</f>
        <v>396061479.63</v>
      </c>
      <c r="L52" s="447"/>
      <c r="M52" s="443"/>
      <c r="N52" s="441"/>
      <c r="O52" s="441"/>
      <c r="P52" s="400">
        <f>IF(P$38&lt;1000,"",MAX(0,O$15-O$16))</f>
        <v>508534095.76999998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-1036764</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109020205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107983441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36" yWindow="58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16649</v>
      </c>
      <c r="D4" s="104">
        <f>'Pt 1 Summary of Data'!$K$56+'Pt 1 Summary of Data'!$M$56-'Pt 1 Summary of Data'!$N$56</f>
        <v>57961</v>
      </c>
      <c r="E4" s="104">
        <f>'Pt 1 Summary of Data'!$Q$56+'Pt 1 Summary of Data'!$S$56-'Pt 1 Summary of Data'!$T$56</f>
        <v>61963</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38</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144890.14000000001</v>
      </c>
      <c r="E16" s="99">
        <v>2494418.9700000002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4193.67</v>
      </c>
      <c r="E22" s="127">
        <v>76759.12</v>
      </c>
      <c r="F22" s="127"/>
      <c r="G22" s="127"/>
      <c r="H22" s="127"/>
      <c r="I22" s="181"/>
      <c r="J22" s="181"/>
      <c r="K22" s="200"/>
    </row>
    <row r="23" spans="2:12" s="5" customFormat="1" ht="100.15" customHeight="1" x14ac:dyDescent="0.2">
      <c r="B23" s="91" t="s">
        <v>212</v>
      </c>
      <c r="C23" s="483" t="s">
        <v>536</v>
      </c>
      <c r="D23" s="484"/>
      <c r="E23" s="484"/>
      <c r="F23" s="484"/>
      <c r="G23" s="484"/>
      <c r="H23" s="484"/>
      <c r="I23" s="484"/>
      <c r="J23" s="484"/>
      <c r="K23" s="485"/>
    </row>
    <row r="24" spans="2:12" s="5" customFormat="1" ht="100.15" customHeight="1" x14ac:dyDescent="0.2">
      <c r="B24" s="90" t="s">
        <v>213</v>
      </c>
      <c r="C24" s="486" t="s">
        <v>537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t="s">
        <v>513</v>
      </c>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c r="C30" s="113"/>
      <c r="D30" s="137" t="s">
        <v>518</v>
      </c>
      <c r="E30" s="7"/>
    </row>
    <row r="31" spans="2:5" ht="35.25" customHeight="1" x14ac:dyDescent="0.2">
      <c r="B31" s="134"/>
      <c r="C31" s="113"/>
      <c r="D31" s="137" t="s">
        <v>519</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520</v>
      </c>
      <c r="E34" s="7"/>
    </row>
    <row r="35" spans="2:5" ht="35.25" customHeight="1" x14ac:dyDescent="0.2">
      <c r="B35" s="134"/>
      <c r="C35" s="113"/>
      <c r="D35" s="137" t="s">
        <v>521</v>
      </c>
      <c r="E35" s="7"/>
    </row>
    <row r="36" spans="2:5" ht="35.25" customHeight="1" x14ac:dyDescent="0.2">
      <c r="B36" s="134"/>
      <c r="C36" s="113"/>
      <c r="D36" s="137" t="s">
        <v>522</v>
      </c>
      <c r="E36" s="7"/>
    </row>
    <row r="37" spans="2:5" ht="35.25" customHeight="1" x14ac:dyDescent="0.2">
      <c r="B37" s="134"/>
      <c r="C37" s="113"/>
      <c r="D37" s="137" t="s">
        <v>523</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525</v>
      </c>
      <c r="E48" s="7"/>
    </row>
    <row r="49" spans="2:5" ht="35.25" customHeight="1" x14ac:dyDescent="0.2">
      <c r="B49" s="134"/>
      <c r="C49" s="113"/>
      <c r="D49" s="137" t="s">
        <v>526</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527</v>
      </c>
      <c r="E56" s="7"/>
    </row>
    <row r="57" spans="2:5" ht="35.25" customHeight="1" x14ac:dyDescent="0.2">
      <c r="B57" s="134"/>
      <c r="C57" s="115"/>
      <c r="D57" s="137" t="s">
        <v>528</v>
      </c>
      <c r="E57" s="7"/>
    </row>
    <row r="58" spans="2:5" ht="35.25" customHeight="1" x14ac:dyDescent="0.2">
      <c r="B58" s="134"/>
      <c r="C58" s="115"/>
      <c r="D58" s="137" t="s">
        <v>529</v>
      </c>
      <c r="E58" s="7"/>
    </row>
    <row r="59" spans="2:5" ht="35.25" customHeight="1" x14ac:dyDescent="0.2">
      <c r="B59" s="134"/>
      <c r="C59" s="115"/>
      <c r="D59" s="137" t="s">
        <v>530</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527</v>
      </c>
      <c r="E67" s="7"/>
    </row>
    <row r="68" spans="2:5" ht="35.25" customHeight="1" x14ac:dyDescent="0.2">
      <c r="B68" s="134"/>
      <c r="C68" s="115"/>
      <c r="D68" s="137" t="s">
        <v>528</v>
      </c>
      <c r="E68" s="7"/>
    </row>
    <row r="69" spans="2:5" ht="35.25" customHeight="1" x14ac:dyDescent="0.2">
      <c r="B69" s="134"/>
      <c r="C69" s="115"/>
      <c r="D69" s="137" t="s">
        <v>529</v>
      </c>
      <c r="E69" s="7"/>
    </row>
    <row r="70" spans="2:5" ht="35.25" customHeight="1" x14ac:dyDescent="0.2">
      <c r="B70" s="134"/>
      <c r="C70" s="115"/>
      <c r="D70" s="137" t="s">
        <v>530</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527</v>
      </c>
      <c r="E78" s="7"/>
    </row>
    <row r="79" spans="2:5" ht="35.25" customHeight="1" x14ac:dyDescent="0.2">
      <c r="B79" s="134"/>
      <c r="C79" s="115"/>
      <c r="D79" s="137" t="s">
        <v>528</v>
      </c>
      <c r="E79" s="7"/>
    </row>
    <row r="80" spans="2:5" ht="35.25" customHeight="1" x14ac:dyDescent="0.2">
      <c r="B80" s="134"/>
      <c r="C80" s="115"/>
      <c r="D80" s="137" t="s">
        <v>529</v>
      </c>
      <c r="E80" s="7"/>
    </row>
    <row r="81" spans="2:5" ht="35.25" customHeight="1" x14ac:dyDescent="0.2">
      <c r="B81" s="134"/>
      <c r="C81" s="115"/>
      <c r="D81" s="137" t="s">
        <v>530</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527</v>
      </c>
      <c r="E89" s="7"/>
    </row>
    <row r="90" spans="2:5" ht="35.25" customHeight="1" x14ac:dyDescent="0.2">
      <c r="B90" s="134"/>
      <c r="C90" s="115"/>
      <c r="D90" s="137" t="s">
        <v>528</v>
      </c>
      <c r="E90" s="7"/>
    </row>
    <row r="91" spans="2:5" ht="35.25" customHeight="1" x14ac:dyDescent="0.2">
      <c r="B91" s="134"/>
      <c r="C91" s="115"/>
      <c r="D91" s="137" t="s">
        <v>529</v>
      </c>
      <c r="E91" s="7"/>
    </row>
    <row r="92" spans="2:5" ht="35.25" customHeight="1" x14ac:dyDescent="0.2">
      <c r="B92" s="134"/>
      <c r="C92" s="115"/>
      <c r="D92" s="137" t="s">
        <v>530</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531</v>
      </c>
      <c r="E100" s="7"/>
    </row>
    <row r="101" spans="2:5" ht="35.25" customHeight="1" x14ac:dyDescent="0.2">
      <c r="B101" s="134"/>
      <c r="C101" s="115"/>
      <c r="D101" s="137" t="s">
        <v>532</v>
      </c>
      <c r="E101" s="7"/>
    </row>
    <row r="102" spans="2:5" ht="35.25" customHeight="1" x14ac:dyDescent="0.2">
      <c r="B102" s="134"/>
      <c r="C102" s="115"/>
      <c r="D102" s="137" t="s">
        <v>533</v>
      </c>
      <c r="E102" s="7"/>
    </row>
    <row r="103" spans="2:5" ht="35.25" customHeight="1" x14ac:dyDescent="0.2">
      <c r="B103" s="134"/>
      <c r="C103" s="115"/>
      <c r="D103" s="137" t="s">
        <v>534</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527</v>
      </c>
      <c r="E111" s="27"/>
    </row>
    <row r="112" spans="2:5" s="5" customFormat="1" ht="35.25" customHeight="1" x14ac:dyDescent="0.2">
      <c r="B112" s="134"/>
      <c r="C112" s="115"/>
      <c r="D112" s="137" t="s">
        <v>528</v>
      </c>
      <c r="E112" s="27"/>
    </row>
    <row r="113" spans="2:5" s="5" customFormat="1" ht="35.25" customHeight="1" x14ac:dyDescent="0.2">
      <c r="B113" s="134"/>
      <c r="C113" s="115"/>
      <c r="D113" s="137" t="s">
        <v>529</v>
      </c>
      <c r="E113" s="27"/>
    </row>
    <row r="114" spans="2:5" s="5" customFormat="1" ht="35.25" customHeight="1" x14ac:dyDescent="0.2">
      <c r="B114" s="134"/>
      <c r="C114" s="115"/>
      <c r="D114" s="137" t="s">
        <v>530</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527</v>
      </c>
      <c r="E123" s="7"/>
    </row>
    <row r="124" spans="2:5" s="5" customFormat="1" ht="35.25" customHeight="1" x14ac:dyDescent="0.2">
      <c r="B124" s="134"/>
      <c r="C124" s="113"/>
      <c r="D124" s="137" t="s">
        <v>528</v>
      </c>
      <c r="E124" s="27"/>
    </row>
    <row r="125" spans="2:5" s="5" customFormat="1" ht="35.25" customHeight="1" x14ac:dyDescent="0.2">
      <c r="B125" s="134"/>
      <c r="C125" s="113"/>
      <c r="D125" s="137" t="s">
        <v>529</v>
      </c>
      <c r="E125" s="27"/>
    </row>
    <row r="126" spans="2:5" s="5" customFormat="1" ht="35.25" customHeight="1" x14ac:dyDescent="0.2">
      <c r="B126" s="134"/>
      <c r="C126" s="113"/>
      <c r="D126" s="137" t="s">
        <v>530</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527</v>
      </c>
      <c r="E134" s="27"/>
    </row>
    <row r="135" spans="2:5" s="5" customFormat="1" ht="35.25" customHeight="1" x14ac:dyDescent="0.2">
      <c r="B135" s="134"/>
      <c r="C135" s="113"/>
      <c r="D135" s="137" t="s">
        <v>528</v>
      </c>
      <c r="E135" s="27"/>
    </row>
    <row r="136" spans="2:5" s="5" customFormat="1" ht="35.25" customHeight="1" x14ac:dyDescent="0.2">
      <c r="B136" s="134"/>
      <c r="C136" s="113"/>
      <c r="D136" s="137" t="s">
        <v>529</v>
      </c>
      <c r="E136" s="27"/>
    </row>
    <row r="137" spans="2:5" s="5" customFormat="1" ht="35.25" customHeight="1" x14ac:dyDescent="0.2">
      <c r="B137" s="134"/>
      <c r="C137" s="113"/>
      <c r="D137" s="137" t="s">
        <v>530</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528</v>
      </c>
      <c r="E145" s="27"/>
    </row>
    <row r="146" spans="2:5" s="5" customFormat="1" ht="35.25" customHeight="1" x14ac:dyDescent="0.2">
      <c r="B146" s="134"/>
      <c r="C146" s="113"/>
      <c r="D146" s="137" t="s">
        <v>529</v>
      </c>
      <c r="E146" s="27"/>
    </row>
    <row r="147" spans="2:5" s="5" customFormat="1" ht="35.25" customHeight="1" x14ac:dyDescent="0.2">
      <c r="B147" s="134"/>
      <c r="C147" s="113"/>
      <c r="D147" s="137" t="s">
        <v>530</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528</v>
      </c>
      <c r="E167" s="27"/>
    </row>
    <row r="168" spans="2:5" s="5" customFormat="1" ht="35.25" customHeight="1" x14ac:dyDescent="0.2">
      <c r="B168" s="134"/>
      <c r="C168" s="113"/>
      <c r="D168" s="137" t="s">
        <v>529</v>
      </c>
      <c r="E168" s="27"/>
    </row>
    <row r="169" spans="2:5" s="5" customFormat="1" ht="35.25" customHeight="1" x14ac:dyDescent="0.2">
      <c r="B169" s="134"/>
      <c r="C169" s="113"/>
      <c r="D169" s="137" t="s">
        <v>530</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528</v>
      </c>
      <c r="E178" s="27"/>
    </row>
    <row r="179" spans="2:5" s="5" customFormat="1" ht="35.25" customHeight="1" x14ac:dyDescent="0.2">
      <c r="B179" s="134"/>
      <c r="C179" s="113"/>
      <c r="D179" s="137" t="s">
        <v>529</v>
      </c>
      <c r="E179" s="27"/>
    </row>
    <row r="180" spans="2:5" s="5" customFormat="1" ht="35.25" customHeight="1" x14ac:dyDescent="0.2">
      <c r="B180" s="134"/>
      <c r="C180" s="113"/>
      <c r="D180" s="137" t="s">
        <v>530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527</v>
      </c>
      <c r="E200" s="27"/>
    </row>
    <row r="201" spans="2:5" s="5" customFormat="1" ht="35.25" customHeight="1" x14ac:dyDescent="0.2">
      <c r="B201" s="134"/>
      <c r="C201" s="113"/>
      <c r="D201" s="137" t="s">
        <v>528</v>
      </c>
      <c r="E201" s="27"/>
    </row>
    <row r="202" spans="2:5" s="5" customFormat="1" ht="35.25" customHeight="1" x14ac:dyDescent="0.2">
      <c r="B202" s="134"/>
      <c r="C202" s="113"/>
      <c r="D202" s="137" t="s">
        <v>529</v>
      </c>
      <c r="E202" s="27"/>
    </row>
    <row r="203" spans="2:5" s="5" customFormat="1" ht="35.25" customHeight="1" x14ac:dyDescent="0.2">
      <c r="B203" s="134"/>
      <c r="C203" s="113"/>
      <c r="D203" s="137" t="s">
        <v>530</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2016-09-01T20:39:30Z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