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X39" i="10" s="1"/>
  <c r="V46" i="10"/>
  <c r="U46" i="10"/>
  <c r="T46" i="10"/>
  <c r="S46" i="10"/>
  <c r="R46" i="10"/>
  <c r="Q46" i="10"/>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5" i="10"/>
  <c r="P15" i="10"/>
  <c r="O15" i="10"/>
  <c r="L15" i="10"/>
  <c r="AA13" i="10"/>
  <c r="Z13" i="10"/>
  <c r="Y13" i="10"/>
  <c r="W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Z55" i="18"/>
  <c r="Y55" i="18"/>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A22" i="4"/>
  <c r="Z22" i="4"/>
  <c r="Y22" i="4"/>
  <c r="AU12" i="4"/>
  <c r="J12" i="4"/>
  <c r="F12" i="4"/>
  <c r="AU5" i="4"/>
  <c r="AT5" i="4"/>
  <c r="AS5" i="4"/>
  <c r="AC5" i="4"/>
  <c r="AB5" i="4"/>
  <c r="AA5" i="4"/>
  <c r="Z5" i="4"/>
  <c r="Y5" i="4"/>
  <c r="X5" i="4"/>
  <c r="W5" i="4"/>
  <c r="V5" i="4"/>
  <c r="U5" i="4"/>
  <c r="T5" i="4"/>
  <c r="S5" i="4"/>
  <c r="R5" i="4"/>
  <c r="Q5" i="4"/>
  <c r="P5" i="4"/>
  <c r="O5" i="4"/>
  <c r="N5" i="4"/>
  <c r="M5" i="4"/>
  <c r="L5" i="4"/>
  <c r="K5" i="4"/>
  <c r="J5" i="4"/>
  <c r="I5" i="4"/>
  <c r="H5" i="4"/>
  <c r="G5" i="4"/>
  <c r="F5" i="4"/>
  <c r="E5" i="4"/>
  <c r="D5" i="4"/>
  <c r="G15" i="10" l="1"/>
  <c r="J7" i="10"/>
  <c r="K7" i="10" s="1"/>
  <c r="E7" i="10"/>
  <c r="F7" i="10" s="1"/>
  <c r="J15" i="10"/>
  <c r="K15" i="10" s="1"/>
  <c r="E15" i="10"/>
  <c r="L30" i="10"/>
  <c r="L31" i="10" s="1"/>
  <c r="L29" i="10" s="1"/>
  <c r="L33" i="10" s="1"/>
  <c r="L34" i="10" s="1"/>
  <c r="P47" i="10"/>
  <c r="P48" i="10" s="1"/>
  <c r="P51" i="10" s="1"/>
  <c r="P53" i="10" s="1"/>
  <c r="E11" i="16" s="1"/>
  <c r="AB39" i="10"/>
  <c r="L21" i="10"/>
  <c r="L26" i="10" s="1"/>
  <c r="L25" i="10" s="1"/>
  <c r="L28" i="10" s="1"/>
  <c r="AB13" i="10"/>
  <c r="X13" i="10"/>
  <c r="T13" i="10"/>
  <c r="U13" i="10"/>
  <c r="S13" i="10"/>
  <c r="G7" i="10"/>
  <c r="K17" i="10" l="1"/>
  <c r="I12" i="10"/>
  <c r="H12" i="10"/>
  <c r="J17" i="10"/>
  <c r="J12" i="10"/>
  <c r="F15" i="10"/>
  <c r="E17" i="10" s="1"/>
  <c r="J38" i="10"/>
  <c r="I17" i="10"/>
  <c r="I45" i="10" s="1"/>
  <c r="H17" i="10"/>
  <c r="H45" i="10" s="1"/>
  <c r="G27" i="10"/>
  <c r="G23" i="10"/>
  <c r="G19" i="10"/>
  <c r="G20" i="10"/>
  <c r="G24" i="10"/>
  <c r="G32" i="10"/>
  <c r="C17" i="10" l="1"/>
  <c r="D17" i="10"/>
  <c r="C12" i="10"/>
  <c r="K12" i="10"/>
  <c r="C45" i="10"/>
  <c r="K38" i="10"/>
  <c r="J45" i="10"/>
  <c r="F17" i="10"/>
  <c r="E12" i="10"/>
  <c r="E38" i="10"/>
  <c r="D12" i="10"/>
  <c r="G22" i="10"/>
  <c r="F12" i="10" l="1"/>
  <c r="E45" i="10"/>
  <c r="F38" i="10"/>
  <c r="D45" i="10"/>
  <c r="K52" i="10"/>
  <c r="K39" i="10"/>
  <c r="K42" i="10" s="1"/>
  <c r="K45" i="10"/>
  <c r="G30" i="10"/>
  <c r="G31" i="10" s="1"/>
  <c r="G29" i="10" s="1"/>
  <c r="G33" i="10" s="1"/>
  <c r="G34" i="10" s="1"/>
  <c r="G21" i="10"/>
  <c r="G26" i="10" s="1"/>
  <c r="G25" i="10" s="1"/>
  <c r="G28" i="10" s="1"/>
  <c r="K47" i="10" l="1"/>
  <c r="K48" i="10" s="1"/>
  <c r="K51" i="10" s="1"/>
  <c r="K53" i="10" s="1"/>
  <c r="D11" i="16" s="1"/>
  <c r="F52" i="10"/>
  <c r="F39" i="10"/>
  <c r="F42" i="10" s="1"/>
  <c r="F45" i="10"/>
  <c r="F47" i="10" l="1"/>
  <c r="F48" i="10" s="1"/>
  <c r="F51" i="10" s="1"/>
  <c r="F53" i="10" s="1"/>
  <c r="C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<sst xmlns="http://schemas.openxmlformats.org/spreadsheetml/2006/main" count="570" uniqueCount="508">
  <si>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</si>
  <si>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</si>
  <si>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</si>
  <si>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</si>
  <si>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</si>
  <si>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</si>
  <si>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</si>
  <si>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</si>
  <si>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</si>
  <si>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</si>
  <si>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</si>
  <si>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</si>
  <si>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</si>
  <si>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</si>
  <si>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</si>
  <si>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</si>
  <si>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</si>
  <si>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</si>
  <si>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</si>
  <si>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</si>
  <si>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</si>
  <si>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</si>
  <si>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</si>
  <si>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</si>
  <si>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</si>
  <si>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</si>
  <si>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</si>
  <si>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</si>
  <si>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</si>
  <si>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</si>
  <si>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</si>
  <si>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</si>
  <si>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</si>
  <si>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</si>
  <si>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</si>
  <si>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</si>
  <si>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</si>
  <si>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</si>
  <si>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</si>
  <si>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</si>
  <si>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</si>
  <si>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</si>
  <si>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</si>
  <si>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</si>
  <si>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</si>
  <si>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</si>
  <si>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</si>
  <si>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</si>
  <si>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</si>
  <si>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</si>
  <si>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</si>
  <si>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</si>
  <si>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</si>
  <si>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</si>
  <si>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</si>
  <si>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</si>
  <si>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</si>
  <si>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</si>
  <si>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</si>
  <si>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</si>
  <si>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</si>
  <si>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</si>
  <si>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</si>
  <si>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</si>
  <si>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</si>
  <si>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</si>
  <si>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</si>
  <si>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</si>
  <si>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</si>
  <si>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</si>
  <si>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</si>
  <si>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</si>
  <si>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</si>
  <si>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</si>
  <si>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</si>
  <si>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</si>
  <si>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</si>
  <si>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</si>
  <si>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</si>
  <si>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</si>
  <si>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</si>
  <si>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</si>
  <si>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</si>
  <si>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</si>
  <si>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</si>
  <si>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</si>
  <si>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</si>
  <si>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</si>
  <si>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</si>
  <si>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</si>
  <si>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</si>
  <si>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</si>
  <si>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</si>
  <si>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</si>
  <si>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</si>
  <si>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</si>
  <si>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</si>
  <si>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</si>
  <si>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</si>
  <si>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</si>
  <si>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</si>
  <si>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</si>
  <si>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</si>
  <si>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</si>
  <si>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</si>
  <si>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</si>
  <si>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</si>
  <si>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</si>
  <si>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</si>
  <si>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</si>
  <si>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</si>
  <si>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</si>
  <si>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</si>
  <si>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</si>
  <si>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</si>
  <si>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</si>
  <si>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</si>
  <si>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</si>
  <si>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</si>
  <si>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</si>
  <si>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</si>
  <si>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</si>
  <si>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</si>
  <si>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</si>
  <si>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</si>
  <si>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</si>
  <si>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</si>
  <si>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</si>
  <si>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</si>
  <si>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</si>
  <si>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</si>
  <si>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</si>
  <si>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</si>
  <si>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</si>
  <si>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</si>
  <si>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</si>
  <si>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</si>
  <si>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</si>
  <si>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</si>
  <si>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</si>
  <si>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</si>
  <si>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</si>
  <si>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</si>
  <si>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</si>
  <si>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</si>
  <si>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</si>
  <si>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</si>
  <si>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</si>
  <si>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</si>
  <si>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</si>
  <si>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</si>
  <si>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</si>
  <si>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</si>
  <si>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</si>
  <si>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</si>
  <si>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</si>
  <si>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</si>
  <si>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</si>
  <si>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</si>
  <si>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</si>
  <si>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</si>
  <si>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</si>
  <si>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</si>
  <si>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</si>
  <si>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</si>
  <si>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</si>
  <si>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</si>
  <si>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</si>
  <si>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</si>
  <si>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</si>
  <si>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</si>
  <si>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</si>
  <si>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</si>
  <si>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</si>
  <si>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</si>
  <si>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</si>
  <si>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</si>
  <si>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</si>
  <si>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</si>
  <si>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</si>
  <si>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</si>
  <si>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</si>
  <si>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</si>
  <si>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</si>
  <si>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</si>
  <si>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</si>
  <si>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</si>
  <si>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</si>
  <si>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</si>
  <si>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</si>
  <si>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</si>
  <si>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</si>
  <si>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</si>
  <si>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</si>
  <si>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</si>
  <si>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</si>
  <si>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</si>
  <si>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</si>
  <si>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</si>
  <si>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</si>
  <si>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</si>
  <si>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</si>
  <si>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</si>
  <si>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</si>
  <si>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</si>
  <si>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</si>
  <si>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</si>
  <si>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</si>
  <si>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</si>
  <si>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</si>
  <si>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</si>
  <si>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</si>
  <si>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</si>
  <si>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</si>
  <si>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</si>
  <si>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</si>
  <si>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</si>
  <si>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</si>
  <si>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</si>
  <si>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</si>
  <si>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</si>
  <si>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</si>
  <si>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</si>
  <si>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</si>
  <si>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</si>
  <si>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</si>
  <si>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</si>
  <si>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</si>
  <si>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</si>
  <si>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</si>
  <si>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</si>
  <si>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</si>
  <si>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</si>
  <si>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</si>
  <si>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</si>
  <si>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</si>
  <si>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</si>
  <si>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</si>
  <si>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</si>
  <si>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</si>
  <si>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</si>
  <si>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</si>
  <si>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</si>
  <si>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</si>
  <si>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</si>
  <si>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</si>
  <si>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</si>
  <si>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</si>
  <si>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</si>
  <si>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</si>
  <si>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</si>
  <si>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</si>
  <si>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</si>
  <si>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</si>
  <si>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</si>
  <si>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</si>
  <si>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</si>
  <si>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</si>
  <si>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</si>
  <si>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</si>
  <si>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</si>
  <si>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</si>
  <si>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</si>
  <si>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</si>
  <si>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</si>
  <si>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</si>
  <si>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</si>
  <si>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</si>
  <si>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</si>
  <si>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</si>
  <si>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</si>
  <si>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</si>
  <si>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</si>
  <si>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</si>
  <si>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</si>
  <si>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</si>
  <si>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</si>
  <si>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</si>
  <si>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</si>
  <si>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</si>
  <si>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</si>
  <si>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</si>
  <si>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</si>
  <si>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</si>
  <si>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</si>
  <si>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</si>
  <si>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</si>
  <si>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</si>
  <si>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</si>
  <si>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</si>
  <si>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</si>
  <si>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</si>
  <si>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</si>
  <si>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</si>
  <si>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</si>
  <si>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</si>
  <si>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</si>
  <si>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</si>
  <si>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</si>
  <si>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</si>
  <si>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</si>
  <si>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</si>
  <si>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</si>
  <si>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</si>
  <si>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</si>
  <si>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</si>
  <si>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</si>
  <si>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</si>
  <si>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</si>
  <si>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</si>
  <si>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</si>
  <si>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</si>
  <si>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</si>
  <si>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</si>
  <si>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</si>
  <si>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</si>
  <si>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</si>
  <si>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</si>
  <si>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</si>
  <si>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</si>
  <si>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</si>
  <si>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</si>
  <si>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</si>
  <si>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</si>
  <si>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</si>
  <si>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</si>
  <si>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</si>
  <si>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</si>
  <si>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</si>
  <si>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</si>
  <si>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</si>
  <si>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</si>
  <si>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</si>
  <si>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</si>
  <si>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</si>
  <si>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</si>
  <si>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</si>
  <si>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</si>
  <si>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</si>
  <si>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</si>
  <si>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</si>
  <si>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</si>
  <si>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</si>
  <si>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</si>
  <si>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</si>
  <si>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</si>
  <si>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</si>
  <si>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</si>
  <si>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</si>
  <si>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</si>
  <si>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</si>
  <si>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</si>
  <si>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</si>
  <si>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</si>
  <si>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</si>
  <si>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</si>
  <si>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</si>
  <si>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</si>
  <si>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</si>
  <si>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</si>
  <si>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</si>
  <si>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</si>
  <si>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</si>
  <si>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</si>
  <si>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</si>
  <si>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</si>
  <si>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</si>
  <si>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</si>
  <si>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</si>
  <si>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</si>
  <si>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</si>
  <si>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</si>
  <si>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</si>
  <si>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</si>
  <si>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</si>
  <si>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</si>
  <si>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</si>
  <si>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</si>
  <si>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</si>
  <si>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</si>
  <si>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</si>
  <si>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</si>
  <si>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</si>
  <si>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</si>
  <si>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</si>
  <si>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</si>
  <si>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</si>
  <si>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</si>
  <si>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</si>
  <si>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</si>
  <si>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</si>
  <si>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</si>
  <si>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</si>
  <si>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</si>
  <si>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</si>
  <si>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</si>
  <si>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</si>
  <si>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</si>
  <si>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</si>
  <si>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</si>
  <si>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</si>
  <si>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</si>
  <si>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</si>
  <si>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</si>
  <si>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</si>
  <si>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</si>
  <si>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</si>
  <si>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</si>
  <si>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</si>
  <si>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</si>
  <si>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</si>
  <si>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</si>
  <si>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</si>
  <si>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</si>
  <si>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</si>
  <si>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</si>
  <si>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</si>
  <si>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</si>
  <si>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</si>
  <si>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</si>
  <si>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</si>
  <si>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</si>
  <si>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</si>
  <si>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</si>
  <si>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</si>
  <si>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</si>
  <si>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</si>
  <si>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</si>
  <si>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</si>
  <si>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</si>
  <si>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</si>
  <si>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</si>
  <si>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</si>
  <si>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</si>
  <si>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</si>
  <si>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</si>
  <si>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</si>
  <si>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</si>
  <si>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</si>
  <si>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</si>
  <si>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</si>
  <si>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</si>
  <si>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</si>
  <si>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</si>
  <si>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</si>
  <si>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</si>
  <si>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</si>
  <si>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</si>
  <si>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</si>
  <si>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</si>
  <si>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</si>
  <si>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</si>
  <si>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</si>
  <si>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</si>
  <si>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</si>
  <si>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</si>
  <si>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</si>
  <si>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</si>
  <si>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</si>
  <si>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</si>
  <si>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</si>
  <si>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</si>
  <si>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</si>
  <si>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</si>
  <si>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</si>
  <si>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</si>
  <si>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</si>
  <si>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</si>
  <si>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</si>
  <si>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</si>
  <si>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</si>
  <si>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</si>
  <si>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</si>
  <si>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</si>
  <si>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</si>
  <si>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</si>
  <si>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</si>
  <si>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</si>
  <si>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</si>
  <si>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</si>
  <si>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</si>
  <si>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</si>
  <si>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</si>
  <si>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</si>
  <si>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</si>
  <si>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</si>
  <si>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</si>
  <si>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</si>
  <si>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</si>
  <si>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</si>
  <si>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</si>
  <si>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</si>
  <si>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</si>
  <si>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</si>
  <si>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</si>
  <si>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</si>
  <si>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</si>
  <si>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</si>
  <si>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</si>
  <si>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</si>
  <si>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</si>
  <si>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</si>
  <si>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</si>
  <si>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</si>
  <si>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</si>
  <si>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58288</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</si>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</sst>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5487657</v>
      </c>
      <c r="E5" s="213">
        <f>SUM('Pt 2 Premium and Claims'!E$5,'Pt 2 Premium and Claims'!E$6,-'Pt 2 Premium and Claims'!E$7,-'Pt 2 Premium and Claims'!E$13,'Pt 2 Premium and Claims'!E$14:'Pt 2 Premium and Claims'!E$17)</f>
        <v>5780155.0900002997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5225759</v>
      </c>
      <c r="J5" s="212">
        <f>SUM('Pt 2 Premium and Claims'!J$5,'Pt 2 Premium and Claims'!J$6,-'Pt 2 Premium and Claims'!J$7,-'Pt 2 Premium and Claims'!J$13,'Pt 2 Premium and Claims'!J$14,'Pt 2 Premium and Claims'!J$16:'Pt 2 Premium and Claims'!J$17)</f>
        <v>19858212</v>
      </c>
      <c r="K5" s="213">
        <f>SUM('Pt 2 Premium and Claims'!K$5,'Pt 2 Premium and Claims'!K$6,-'Pt 2 Premium and Claims'!K$7,-'Pt 2 Premium and Claims'!K$13,'Pt 2 Premium and Claims'!K$14,'Pt 2 Premium and Claims'!K$16:'Pt 2 Premium and Claims'!K$17)</f>
        <v>16516235.505964801</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143590228</v>
      </c>
      <c r="Q5" s="213">
        <f>SUM('Pt 2 Premium and Claims'!Q$5,'Pt 2 Premium and Claims'!Q$6,-'Pt 2 Premium and Claims'!Q$7,-'Pt 2 Premium and Claims'!Q$13,'Pt 2 Premium and Claims'!Q$14)</f>
        <v>147197151.05608121</v>
      </c>
      <c r="R5" s="213">
        <f>SUM('Pt 2 Premium and Claims'!R$5,'Pt 2 Premium and Claims'!R$6,-'Pt 2 Premium and Claims'!R$7,-'Pt 2 Premium and Claims'!R$13,'Pt 2 Premium and Claims'!R$14)</f>
        <v>391575.55</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172844237</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385</v>
      </c>
      <c r="E7" s="217">
        <v>384.69</v>
      </c>
      <c r="F7" s="217"/>
      <c r="G7" s="217"/>
      <c r="H7" s="217"/>
      <c r="I7" s="216">
        <v>0</v>
      </c>
      <c r="J7" s="216">
        <v>15529</v>
      </c>
      <c r="K7" s="217">
        <v>15528.92</v>
      </c>
      <c r="L7" s="217"/>
      <c r="M7" s="217"/>
      <c r="N7" s="217"/>
      <c r="O7" s="216"/>
      <c r="P7" s="216">
        <v>120460</v>
      </c>
      <c r="Q7" s="217">
        <v>120647.89</v>
      </c>
      <c r="R7" s="217">
        <v>-630.75</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-42628</v>
      </c>
      <c r="E8" s="268"/>
      <c r="F8" s="269"/>
      <c r="G8" s="269"/>
      <c r="H8" s="269"/>
      <c r="I8" s="272"/>
      <c r="J8" s="216">
        <v>-41253</v>
      </c>
      <c r="K8" s="268"/>
      <c r="L8" s="269"/>
      <c r="M8" s="269"/>
      <c r="N8" s="269"/>
      <c r="O8" s="272"/>
      <c r="P8" s="216">
        <v>-152992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3033913</v>
      </c>
      <c r="E12" s="213">
        <f>'Pt 2 Premium and Claims'!E$54</f>
        <v>4513915.8768999996</v>
      </c>
      <c r="F12" s="213">
        <f>'Pt 2 Premium and Claims'!F$54</f>
        <v>0</v>
      </c>
      <c r="G12" s="213">
        <f>'Pt 2 Premium and Claims'!G$54</f>
        <v>0</v>
      </c>
      <c r="H12" s="213">
        <f>'Pt 2 Premium and Claims'!H$54</f>
        <v>0</v>
      </c>
      <c r="I12" s="212">
        <f>'Pt 2 Premium and Claims'!I$54</f>
        <v>4063540</v>
      </c>
      <c r="J12" s="212">
        <f>'Pt 2 Premium and Claims'!J$54</f>
        <v>14464902</v>
      </c>
      <c r="K12" s="213">
        <f>'Pt 2 Premium and Claims'!K$54</f>
        <v>15167399.152425922</v>
      </c>
      <c r="L12" s="213">
        <f>'Pt 2 Premium and Claims'!L$54</f>
        <v>0</v>
      </c>
      <c r="M12" s="213">
        <f>'Pt 2 Premium and Claims'!M$54</f>
        <v>0</v>
      </c>
      <c r="N12" s="213">
        <f>'Pt 2 Premium and Claims'!N$54</f>
        <v>0</v>
      </c>
      <c r="O12" s="212">
        <f>'Pt 2 Premium and Claims'!O$54</f>
        <v>0</v>
      </c>
      <c r="P12" s="212">
        <f>'Pt 2 Premium and Claims'!P$54</f>
        <v>131237611</v>
      </c>
      <c r="Q12" s="213">
        <f>'Pt 2 Premium and Claims'!Q$54</f>
        <v>128181371.15375054</v>
      </c>
      <c r="R12" s="213">
        <f>'Pt 2 Premium and Claims'!R$54</f>
        <v>621219.62950000004</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146309907</v>
      </c>
      <c r="AT12" s="214">
        <f>'Pt 2 Premium and Claims'!AT$54</f>
        <v>0</v>
      </c>
      <c r="AU12" s="214">
        <f>'Pt 2 Premium and Claims'!AU$54</f>
        <v>0</v>
      </c>
      <c r="AV12" s="291"/>
      <c r="AW12" s="296"/>
    </row>
    <row r="13" spans="1:49" ht="25.5" x14ac:dyDescent="0.2">
      <c r="B13" s="239" t="s">
        <v>230</v>
      </c>
      <c r="C13" s="203" t="s">
        <v>37</v>
      </c>
      <c r="D13" s="216">
        <v>601216</v>
      </c>
      <c r="E13" s="217">
        <v>621715.09</v>
      </c>
      <c r="F13" s="217"/>
      <c r="G13" s="268"/>
      <c r="H13" s="269"/>
      <c r="I13" s="216">
        <v>617773</v>
      </c>
      <c r="J13" s="216">
        <v>1718252</v>
      </c>
      <c r="K13" s="217">
        <v>1918505.8052518058</v>
      </c>
      <c r="L13" s="217"/>
      <c r="M13" s="268"/>
      <c r="N13" s="269"/>
      <c r="O13" s="216"/>
      <c r="P13" s="216">
        <v>21400753</v>
      </c>
      <c r="Q13" s="217">
        <v>21264645.211015128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10033779</v>
      </c>
      <c r="AT13" s="220">
        <v>0</v>
      </c>
      <c r="AU13" s="220">
        <v>0</v>
      </c>
      <c r="AV13" s="290"/>
      <c r="AW13" s="297"/>
    </row>
    <row r="14" spans="1:49" ht="25.5" x14ac:dyDescent="0.2">
      <c r="B14" s="239" t="s">
        <v>231</v>
      </c>
      <c r="C14" s="203" t="s">
        <v>6</v>
      </c>
      <c r="D14" s="216">
        <v>35391</v>
      </c>
      <c r="E14" s="217">
        <v>28472.69</v>
      </c>
      <c r="F14" s="217"/>
      <c r="G14" s="267"/>
      <c r="H14" s="270"/>
      <c r="I14" s="216">
        <v>27905</v>
      </c>
      <c r="J14" s="216">
        <v>317259</v>
      </c>
      <c r="K14" s="217">
        <v>313068.97624961188</v>
      </c>
      <c r="L14" s="217"/>
      <c r="M14" s="267"/>
      <c r="N14" s="270"/>
      <c r="O14" s="216"/>
      <c r="P14" s="216">
        <v>3110255</v>
      </c>
      <c r="Q14" s="217">
        <v>3119992.5626051533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344367</v>
      </c>
      <c r="AT14" s="220">
        <v>0</v>
      </c>
      <c r="AU14" s="220">
        <v>0</v>
      </c>
      <c r="AV14" s="290"/>
      <c r="AW14" s="297"/>
    </row>
    <row r="15" spans="1:49" ht="38.25" x14ac:dyDescent="0.2">
      <c r="B15" s="239" t="s">
        <v>232</v>
      </c>
      <c r="C15" s="203" t="s">
        <v>7</v>
      </c>
      <c r="D15" s="216">
        <v>221</v>
      </c>
      <c r="E15" s="217">
        <v>220.93</v>
      </c>
      <c r="F15" s="217"/>
      <c r="G15" s="267"/>
      <c r="H15" s="273"/>
      <c r="I15" s="216">
        <v>208</v>
      </c>
      <c r="J15" s="216">
        <v>674</v>
      </c>
      <c r="K15" s="217">
        <v>591.89538155444711</v>
      </c>
      <c r="L15" s="217"/>
      <c r="M15" s="267"/>
      <c r="N15" s="273"/>
      <c r="O15" s="216"/>
      <c r="P15" s="216">
        <v>3946</v>
      </c>
      <c r="Q15" s="217">
        <v>4041.1246184455531</v>
      </c>
      <c r="R15" s="217">
        <v>13.5</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4996</v>
      </c>
      <c r="AT15" s="220">
        <v>0</v>
      </c>
      <c r="AU15" s="220">
        <v>0</v>
      </c>
      <c r="AV15" s="290"/>
      <c r="AW15" s="297"/>
    </row>
    <row r="16" spans="1:49" ht="25.5" x14ac:dyDescent="0.2">
      <c r="B16" s="239" t="s">
        <v>233</v>
      </c>
      <c r="C16" s="203" t="s">
        <v>61</v>
      </c>
      <c r="D16" s="216">
        <v>-84438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-192064</v>
      </c>
      <c r="E17" s="267"/>
      <c r="F17" s="270"/>
      <c r="G17" s="270"/>
      <c r="H17" s="270"/>
      <c r="I17" s="271"/>
      <c r="J17" s="216">
        <v>6191</v>
      </c>
      <c r="K17" s="267"/>
      <c r="L17" s="270"/>
      <c r="M17" s="270"/>
      <c r="N17" s="270"/>
      <c r="O17" s="271"/>
      <c r="P17" s="216">
        <v>-967753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-2289986</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6191</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6940.6</v>
      </c>
      <c r="E22" s="222">
        <f>'Pt 2 Premium and Claims'!E$55</f>
        <v>6940.6</v>
      </c>
      <c r="F22" s="222">
        <f>'Pt 2 Premium and Claims'!F$55</f>
        <v>0</v>
      </c>
      <c r="G22" s="222">
        <f>'Pt 2 Premium and Claims'!G$55</f>
        <v>0</v>
      </c>
      <c r="H22" s="222">
        <f>'Pt 2 Premium and Claims'!H$55</f>
        <v>0</v>
      </c>
      <c r="I22" s="221">
        <f>'Pt 2 Premium and Claims'!I$55</f>
        <v>6253</v>
      </c>
      <c r="J22" s="221">
        <f>'Pt 2 Premium and Claims'!J$55</f>
        <v>31831.77</v>
      </c>
      <c r="K22" s="222">
        <f>'Pt 2 Premium and Claims'!K$55</f>
        <v>28366.544791166401</v>
      </c>
      <c r="L22" s="222">
        <f>'Pt 2 Premium and Claims'!L$55</f>
        <v>0</v>
      </c>
      <c r="M22" s="222">
        <f>'Pt 2 Premium and Claims'!M$55</f>
        <v>0</v>
      </c>
      <c r="N22" s="222">
        <f>'Pt 2 Premium and Claims'!N$55</f>
        <v>0</v>
      </c>
      <c r="O22" s="221">
        <f>'Pt 2 Premium and Claims'!O$55</f>
        <v>0</v>
      </c>
      <c r="P22" s="221">
        <f>'Pt 2 Premium and Claims'!P$55</f>
        <v>166746.75</v>
      </c>
      <c r="Q22" s="222">
        <f>'Pt 2 Premium and Claims'!Q$55</f>
        <v>170817.6552088336</v>
      </c>
      <c r="R22" s="222">
        <f>'Pt 2 Premium and Claims'!R$55</f>
        <v>605.67999999999995</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534254.93999999994</v>
      </c>
      <c r="E25" s="217">
        <v>533621.57199833822</v>
      </c>
      <c r="F25" s="217"/>
      <c r="G25" s="217"/>
      <c r="H25" s="217"/>
      <c r="I25" s="216">
        <v>308543</v>
      </c>
      <c r="J25" s="216">
        <v>748949.7</v>
      </c>
      <c r="K25" s="217">
        <v>73709.578470676104</v>
      </c>
      <c r="L25" s="217">
        <v>8760.3799999999992</v>
      </c>
      <c r="M25" s="217"/>
      <c r="N25" s="217"/>
      <c r="O25" s="216"/>
      <c r="P25" s="216">
        <v>-604448.6</v>
      </c>
      <c r="Q25" s="217">
        <v>-41829.985126856933</v>
      </c>
      <c r="R25" s="217">
        <v>-122008.54029518231</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1334941.8899999999</v>
      </c>
      <c r="AT25" s="220"/>
      <c r="AU25" s="220"/>
      <c r="AV25" s="220"/>
      <c r="AW25" s="297"/>
    </row>
    <row r="26" spans="1:49" s="5" customFormat="1" x14ac:dyDescent="0.2">
      <c r="A26" s="35"/>
      <c r="B26" s="242" t="s">
        <v>242</v>
      </c>
      <c r="C26" s="203"/>
      <c r="D26" s="216">
        <v>665.41</v>
      </c>
      <c r="E26" s="217">
        <v>665.41</v>
      </c>
      <c r="F26" s="217"/>
      <c r="G26" s="217"/>
      <c r="H26" s="217"/>
      <c r="I26" s="216">
        <v>493</v>
      </c>
      <c r="J26" s="216">
        <v>9284.2000000000007</v>
      </c>
      <c r="K26" s="217">
        <v>8165.616442877963</v>
      </c>
      <c r="L26" s="217"/>
      <c r="M26" s="217"/>
      <c r="N26" s="217"/>
      <c r="O26" s="216"/>
      <c r="P26" s="216">
        <v>54103.69</v>
      </c>
      <c r="Q26" s="217">
        <v>55402.553557122039</v>
      </c>
      <c r="R26" s="217">
        <v>180.28</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89843.51</v>
      </c>
      <c r="E27" s="217">
        <v>89843.51</v>
      </c>
      <c r="F27" s="217"/>
      <c r="G27" s="217"/>
      <c r="H27" s="217"/>
      <c r="I27" s="216">
        <v>82259</v>
      </c>
      <c r="J27" s="216">
        <v>403562.41</v>
      </c>
      <c r="K27" s="217">
        <v>354848.34106204705</v>
      </c>
      <c r="L27" s="217"/>
      <c r="M27" s="217"/>
      <c r="N27" s="217"/>
      <c r="O27" s="216"/>
      <c r="P27" s="216">
        <v>2351917.36</v>
      </c>
      <c r="Q27" s="217">
        <v>2407062.3089379529</v>
      </c>
      <c r="R27" s="217">
        <v>6430.88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1630834.85</v>
      </c>
      <c r="AT27" s="220"/>
      <c r="AU27" s="220"/>
      <c r="AV27" s="293"/>
      <c r="AW27" s="297"/>
    </row>
    <row r="28" spans="1:49" s="5" customFormat="1" x14ac:dyDescent="0.2">
      <c r="A28" s="35"/>
      <c r="B28" s="242" t="s">
        <v>244</v>
      </c>
      <c r="C28" s="203"/>
      <c r="D28" s="216">
        <v>10856.15</v>
      </c>
      <c r="E28" s="217">
        <v>10856.15</v>
      </c>
      <c r="F28" s="217"/>
      <c r="G28" s="217"/>
      <c r="H28" s="217"/>
      <c r="I28" s="216">
        <v>10205</v>
      </c>
      <c r="J28" s="216">
        <v>37739.81</v>
      </c>
      <c r="K28" s="217">
        <v>33515.274976158522</v>
      </c>
      <c r="L28" s="217"/>
      <c r="M28" s="217"/>
      <c r="N28" s="217"/>
      <c r="O28" s="216"/>
      <c r="P28" s="216">
        <v>203485.53</v>
      </c>
      <c r="Q28" s="217">
        <v>208750.58502384147</v>
      </c>
      <c r="R28" s="217">
        <v>1040.52</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170562.29</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50516.62</v>
      </c>
      <c r="E30" s="217">
        <v>50460.425937065993</v>
      </c>
      <c r="F30" s="217"/>
      <c r="G30" s="217"/>
      <c r="H30" s="217"/>
      <c r="I30" s="216">
        <v>30362</v>
      </c>
      <c r="J30" s="216">
        <v>76111.8</v>
      </c>
      <c r="K30" s="217">
        <v>15244.207006942986</v>
      </c>
      <c r="L30" s="217">
        <v>685.52</v>
      </c>
      <c r="M30" s="217"/>
      <c r="N30" s="217"/>
      <c r="O30" s="216"/>
      <c r="P30" s="216">
        <v>-13132.68</v>
      </c>
      <c r="Q30" s="217">
        <v>39052.158187010958</v>
      </c>
      <c r="R30" s="217">
        <v>-9423.8731531925441</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184011.39</v>
      </c>
      <c r="AT30" s="220"/>
      <c r="AU30" s="220"/>
      <c r="AV30" s="220"/>
      <c r="AW30" s="297"/>
    </row>
    <row r="31" spans="1:49" x14ac:dyDescent="0.2">
      <c r="B31" s="242" t="s">
        <v>247</v>
      </c>
      <c r="C31" s="203"/>
      <c r="D31" s="216">
        <v>19236.240000000002</v>
      </c>
      <c r="E31" s="217">
        <v>19236.240000000002</v>
      </c>
      <c r="F31" s="217"/>
      <c r="G31" s="217"/>
      <c r="H31" s="217"/>
      <c r="I31" s="216">
        <v>18333</v>
      </c>
      <c r="J31" s="216">
        <v>70429.14</v>
      </c>
      <c r="K31" s="217">
        <v>64272.083841864755</v>
      </c>
      <c r="L31" s="217"/>
      <c r="M31" s="217"/>
      <c r="N31" s="217"/>
      <c r="O31" s="216"/>
      <c r="P31" s="216">
        <v>276481.77</v>
      </c>
      <c r="Q31" s="217">
        <v>282641.39615813526</v>
      </c>
      <c r="R31" s="217">
        <v>2.57</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71545</v>
      </c>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14605.98</v>
      </c>
      <c r="E34" s="217">
        <v>49563.24</v>
      </c>
      <c r="F34" s="217"/>
      <c r="G34" s="217"/>
      <c r="H34" s="217"/>
      <c r="I34" s="216">
        <v>46650</v>
      </c>
      <c r="J34" s="216">
        <v>195299.51</v>
      </c>
      <c r="K34" s="217">
        <v>175925.98256862108</v>
      </c>
      <c r="L34" s="217"/>
      <c r="M34" s="217"/>
      <c r="N34" s="217"/>
      <c r="O34" s="216"/>
      <c r="P34" s="216">
        <v>916879.26</v>
      </c>
      <c r="Q34" s="217">
        <v>936252.78743137897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113240.5</v>
      </c>
      <c r="E35" s="217">
        <v>113240.5</v>
      </c>
      <c r="F35" s="217"/>
      <c r="G35" s="217"/>
      <c r="H35" s="217"/>
      <c r="I35" s="216">
        <v>113031</v>
      </c>
      <c r="J35" s="216">
        <v>13758.8</v>
      </c>
      <c r="K35" s="217">
        <v>12380.874261376974</v>
      </c>
      <c r="L35" s="217"/>
      <c r="M35" s="217"/>
      <c r="N35" s="217"/>
      <c r="O35" s="216"/>
      <c r="P35" s="216">
        <v>65428.72</v>
      </c>
      <c r="Q35" s="217">
        <v>67136.425738623031</v>
      </c>
      <c r="R35" s="217">
        <v>329.78</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56651.32</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9819</v>
      </c>
      <c r="E37" s="225">
        <v>9818.51</v>
      </c>
      <c r="F37" s="225"/>
      <c r="G37" s="225"/>
      <c r="H37" s="225"/>
      <c r="I37" s="224">
        <v>9325</v>
      </c>
      <c r="J37" s="224">
        <v>20123</v>
      </c>
      <c r="K37" s="225">
        <v>17526.943595306209</v>
      </c>
      <c r="L37" s="225"/>
      <c r="M37" s="225"/>
      <c r="N37" s="225"/>
      <c r="O37" s="224"/>
      <c r="P37" s="224">
        <v>236902</v>
      </c>
      <c r="Q37" s="225">
        <v>255318.09640469379</v>
      </c>
      <c r="R37" s="225">
        <v>15820.68</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9110467</v>
      </c>
      <c r="AT37" s="226">
        <v>0</v>
      </c>
      <c r="AU37" s="226">
        <v>0</v>
      </c>
      <c r="AV37" s="226">
        <v>122491</v>
      </c>
      <c r="AW37" s="296"/>
    </row>
    <row r="38" spans="1:49" x14ac:dyDescent="0.2">
      <c r="B38" s="239" t="s">
        <v>254</v>
      </c>
      <c r="C38" s="203" t="s">
        <v>16</v>
      </c>
      <c r="D38" s="216">
        <v>1527</v>
      </c>
      <c r="E38" s="217">
        <v>1526.99</v>
      </c>
      <c r="F38" s="217"/>
      <c r="G38" s="217"/>
      <c r="H38" s="217"/>
      <c r="I38" s="216">
        <v>1479</v>
      </c>
      <c r="J38" s="216">
        <v>-8069</v>
      </c>
      <c r="K38" s="217">
        <v>-7590.9008783162599</v>
      </c>
      <c r="L38" s="217"/>
      <c r="M38" s="217"/>
      <c r="N38" s="217"/>
      <c r="O38" s="216"/>
      <c r="P38" s="216">
        <v>65892</v>
      </c>
      <c r="Q38" s="217">
        <v>80602.360878316264</v>
      </c>
      <c r="R38" s="217">
        <v>15188.85</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180157</v>
      </c>
      <c r="AT38" s="220">
        <v>0</v>
      </c>
      <c r="AU38" s="220">
        <v>0</v>
      </c>
      <c r="AV38" s="220">
        <v>44901</v>
      </c>
      <c r="AW38" s="297"/>
    </row>
    <row r="39" spans="1:49" x14ac:dyDescent="0.2">
      <c r="B39" s="242" t="s">
        <v>255</v>
      </c>
      <c r="C39" s="203" t="s">
        <v>17</v>
      </c>
      <c r="D39" s="216">
        <v>2620</v>
      </c>
      <c r="E39" s="217">
        <v>2619.9499999999998</v>
      </c>
      <c r="F39" s="217"/>
      <c r="G39" s="217"/>
      <c r="H39" s="217"/>
      <c r="I39" s="216">
        <v>2408</v>
      </c>
      <c r="J39" s="216">
        <v>10751</v>
      </c>
      <c r="K39" s="217">
        <v>9506.2002056933925</v>
      </c>
      <c r="L39" s="217"/>
      <c r="M39" s="217"/>
      <c r="N39" s="217"/>
      <c r="O39" s="216"/>
      <c r="P39" s="216">
        <v>75316</v>
      </c>
      <c r="Q39" s="217">
        <v>79203.089794306608</v>
      </c>
      <c r="R39" s="217">
        <v>2641.71</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125974</v>
      </c>
      <c r="AT39" s="220">
        <v>0</v>
      </c>
      <c r="AU39" s="220">
        <v>0</v>
      </c>
      <c r="AV39" s="220">
        <v>10066</v>
      </c>
      <c r="AW39" s="297"/>
    </row>
    <row r="40" spans="1:49" x14ac:dyDescent="0.2">
      <c r="B40" s="242" t="s">
        <v>256</v>
      </c>
      <c r="C40" s="203" t="s">
        <v>38</v>
      </c>
      <c r="D40" s="216">
        <v>11428</v>
      </c>
      <c r="E40" s="217">
        <v>11427.86</v>
      </c>
      <c r="F40" s="217"/>
      <c r="G40" s="217"/>
      <c r="H40" s="217"/>
      <c r="I40" s="216">
        <v>8750</v>
      </c>
      <c r="J40" s="216">
        <v>165004</v>
      </c>
      <c r="K40" s="217">
        <v>147906.90581355727</v>
      </c>
      <c r="L40" s="217"/>
      <c r="M40" s="217"/>
      <c r="N40" s="217"/>
      <c r="O40" s="216"/>
      <c r="P40" s="216">
        <v>865245</v>
      </c>
      <c r="Q40" s="217">
        <v>893252.93418644276</v>
      </c>
      <c r="R40" s="217">
        <v>10910.74</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162112</v>
      </c>
      <c r="AT40" s="220">
        <v>0</v>
      </c>
      <c r="AU40" s="220">
        <v>0</v>
      </c>
      <c r="AV40" s="220">
        <v>40730</v>
      </c>
      <c r="AW40" s="297"/>
    </row>
    <row r="41" spans="1:49" s="5" customFormat="1" ht="25.5" x14ac:dyDescent="0.2">
      <c r="A41" s="35"/>
      <c r="B41" s="242" t="s">
        <v>257</v>
      </c>
      <c r="C41" s="203" t="s">
        <v>129</v>
      </c>
      <c r="D41" s="216">
        <v>5330</v>
      </c>
      <c r="E41" s="217">
        <v>5330.25</v>
      </c>
      <c r="F41" s="217"/>
      <c r="G41" s="217"/>
      <c r="H41" s="217"/>
      <c r="I41" s="216">
        <v>4854</v>
      </c>
      <c r="J41" s="216">
        <v>29926</v>
      </c>
      <c r="K41" s="217">
        <v>26795.776712692805</v>
      </c>
      <c r="L41" s="217"/>
      <c r="M41" s="217"/>
      <c r="N41" s="217"/>
      <c r="O41" s="216"/>
      <c r="P41" s="216">
        <v>149592</v>
      </c>
      <c r="Q41" s="217">
        <v>153236.50328730719</v>
      </c>
      <c r="R41" s="217">
        <v>514.25</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58610</v>
      </c>
      <c r="AT41" s="220">
        <v>0</v>
      </c>
      <c r="AU41" s="220">
        <v>0</v>
      </c>
      <c r="AV41" s="220">
        <v>21200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44996</v>
      </c>
      <c r="E44" s="225">
        <v>44996.13</v>
      </c>
      <c r="F44" s="225"/>
      <c r="G44" s="225"/>
      <c r="H44" s="225"/>
      <c r="I44" s="224">
        <v>41195</v>
      </c>
      <c r="J44" s="224">
        <v>208849</v>
      </c>
      <c r="K44" s="225">
        <v>184611.30552945711</v>
      </c>
      <c r="L44" s="225"/>
      <c r="M44" s="225"/>
      <c r="N44" s="225"/>
      <c r="O44" s="224"/>
      <c r="P44" s="224">
        <v>1231113</v>
      </c>
      <c r="Q44" s="225">
        <v>1261409.1344705429</v>
      </c>
      <c r="R44" s="225">
        <v>6058.45</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2966061</v>
      </c>
      <c r="AT44" s="226">
        <v>0</v>
      </c>
      <c r="AU44" s="226">
        <v>0</v>
      </c>
      <c r="AV44" s="226">
        <v>173930</v>
      </c>
      <c r="AW44" s="296"/>
    </row>
    <row r="45" spans="1:49" x14ac:dyDescent="0.2">
      <c r="B45" s="245" t="s">
        <v>261</v>
      </c>
      <c r="C45" s="203" t="s">
        <v>19</v>
      </c>
      <c r="D45" s="216">
        <v>37476</v>
      </c>
      <c r="E45" s="217">
        <v>37475.82</v>
      </c>
      <c r="F45" s="217"/>
      <c r="G45" s="217"/>
      <c r="H45" s="217"/>
      <c r="I45" s="216">
        <v>35016</v>
      </c>
      <c r="J45" s="216">
        <v>143578</v>
      </c>
      <c r="K45" s="217">
        <v>127704.2089554408</v>
      </c>
      <c r="L45" s="217"/>
      <c r="M45" s="217"/>
      <c r="N45" s="217"/>
      <c r="O45" s="216"/>
      <c r="P45" s="216">
        <v>768830</v>
      </c>
      <c r="Q45" s="217">
        <v>786862.91104455921</v>
      </c>
      <c r="R45" s="217">
        <v>2158.84</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182952</v>
      </c>
      <c r="AT45" s="220">
        <v>0</v>
      </c>
      <c r="AU45" s="220">
        <v>0</v>
      </c>
      <c r="AV45" s="220">
        <v>102675</v>
      </c>
      <c r="AW45" s="297"/>
    </row>
    <row r="46" spans="1:49" x14ac:dyDescent="0.2">
      <c r="B46" s="245" t="s">
        <v>262</v>
      </c>
      <c r="C46" s="203" t="s">
        <v>20</v>
      </c>
      <c r="D46" s="216">
        <v>24181</v>
      </c>
      <c r="E46" s="217">
        <v>24181.07</v>
      </c>
      <c r="F46" s="217"/>
      <c r="G46" s="217"/>
      <c r="H46" s="217"/>
      <c r="I46" s="216">
        <v>22862</v>
      </c>
      <c r="J46" s="216">
        <v>81154</v>
      </c>
      <c r="K46" s="217">
        <v>72531.315007245648</v>
      </c>
      <c r="L46" s="217"/>
      <c r="M46" s="217"/>
      <c r="N46" s="217"/>
      <c r="O46" s="216"/>
      <c r="P46" s="216">
        <v>410768</v>
      </c>
      <c r="Q46" s="217">
        <v>420576.03499275434</v>
      </c>
      <c r="R46" s="217">
        <v>1185.5899999999999</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63747</v>
      </c>
      <c r="AT46" s="220">
        <v>0</v>
      </c>
      <c r="AU46" s="220">
        <v>0</v>
      </c>
      <c r="AV46" s="220">
        <v>33798</v>
      </c>
      <c r="AW46" s="297"/>
    </row>
    <row r="47" spans="1:49" x14ac:dyDescent="0.2">
      <c r="B47" s="245" t="s">
        <v>263</v>
      </c>
      <c r="C47" s="203" t="s">
        <v>21</v>
      </c>
      <c r="D47" s="216">
        <v>106960</v>
      </c>
      <c r="E47" s="217">
        <v>106959.63</v>
      </c>
      <c r="F47" s="217"/>
      <c r="G47" s="217"/>
      <c r="H47" s="217"/>
      <c r="I47" s="216">
        <v>98852</v>
      </c>
      <c r="J47" s="216">
        <v>893703</v>
      </c>
      <c r="K47" s="217">
        <v>834692.28539992438</v>
      </c>
      <c r="L47" s="217"/>
      <c r="M47" s="217"/>
      <c r="N47" s="217"/>
      <c r="O47" s="216"/>
      <c r="P47" s="216">
        <v>2500575</v>
      </c>
      <c r="Q47" s="217">
        <v>2559972.8246000754</v>
      </c>
      <c r="R47" s="217">
        <v>387.17</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62323</v>
      </c>
      <c r="AT47" s="220">
        <v>0</v>
      </c>
      <c r="AU47" s="220">
        <v>0</v>
      </c>
      <c r="AV47" s="220">
        <v>76831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342720.2</v>
      </c>
      <c r="E49" s="217">
        <v>342720.2</v>
      </c>
      <c r="F49" s="217"/>
      <c r="G49" s="217"/>
      <c r="H49" s="217"/>
      <c r="I49" s="216">
        <v>290245</v>
      </c>
      <c r="J49" s="216">
        <v>481790.2</v>
      </c>
      <c r="K49" s="217">
        <v>482039.67947109457</v>
      </c>
      <c r="L49" s="217">
        <v>250.4</v>
      </c>
      <c r="M49" s="217"/>
      <c r="N49" s="217"/>
      <c r="O49" s="216"/>
      <c r="P49" s="216">
        <v>-387702.46</v>
      </c>
      <c r="Q49" s="217">
        <v>-391183.79947109456</v>
      </c>
      <c r="R49" s="217">
        <v>-3482.26</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2074455.93</v>
      </c>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326950</v>
      </c>
      <c r="E51" s="217">
        <v>326950.48</v>
      </c>
      <c r="F51" s="217"/>
      <c r="G51" s="217"/>
      <c r="H51" s="217"/>
      <c r="I51" s="216">
        <v>306277</v>
      </c>
      <c r="J51" s="216">
        <v>1243511</v>
      </c>
      <c r="K51" s="217">
        <v>1106408.4061042743</v>
      </c>
      <c r="L51" s="217">
        <v>-4.62</v>
      </c>
      <c r="M51" s="217"/>
      <c r="N51" s="217"/>
      <c r="O51" s="216"/>
      <c r="P51" s="216">
        <v>6347475</v>
      </c>
      <c r="Q51" s="217">
        <v>6517037.2038957253</v>
      </c>
      <c r="R51" s="217">
        <v>32463.43</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5413792</v>
      </c>
      <c r="AT51" s="220">
        <v>0</v>
      </c>
      <c r="AU51" s="220">
        <v>0</v>
      </c>
      <c r="AV51" s="220">
        <v>678635</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695</v>
      </c>
      <c r="E56" s="229">
        <v>695</v>
      </c>
      <c r="F56" s="229"/>
      <c r="G56" s="229"/>
      <c r="H56" s="229"/>
      <c r="I56" s="228">
        <v>662</v>
      </c>
      <c r="J56" s="228">
        <v>3137</v>
      </c>
      <c r="K56" s="229">
        <v>3137</v>
      </c>
      <c r="L56" s="229"/>
      <c r="M56" s="229"/>
      <c r="N56" s="229"/>
      <c r="O56" s="228"/>
      <c r="P56" s="228">
        <v>12408</v>
      </c>
      <c r="Q56" s="229">
        <v>12408</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834</v>
      </c>
      <c r="AT56" s="230">
        <v>0</v>
      </c>
      <c r="AU56" s="230">
        <v>0</v>
      </c>
      <c r="AV56" s="230">
        <v>1939</v>
      </c>
      <c r="AW56" s="288"/>
    </row>
    <row r="57" spans="2:49" x14ac:dyDescent="0.2">
      <c r="B57" s="245" t="s">
        <v>272</v>
      </c>
      <c r="C57" s="203" t="s">
        <v>25</v>
      </c>
      <c r="D57" s="231">
        <v>932</v>
      </c>
      <c r="E57" s="232">
        <v>932</v>
      </c>
      <c r="F57" s="232"/>
      <c r="G57" s="232"/>
      <c r="H57" s="232"/>
      <c r="I57" s="231">
        <v>868</v>
      </c>
      <c r="J57" s="231">
        <v>4644</v>
      </c>
      <c r="K57" s="232">
        <v>3319</v>
      </c>
      <c r="L57" s="232"/>
      <c r="M57" s="232"/>
      <c r="N57" s="232"/>
      <c r="O57" s="231"/>
      <c r="P57" s="231">
        <v>21882</v>
      </c>
      <c r="Q57" s="232">
        <v>23207</v>
      </c>
      <c r="R57" s="232">
        <v>108</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14965</v>
      </c>
      <c r="AT57" s="233">
        <v>0</v>
      </c>
      <c r="AU57" s="233">
        <v>0</v>
      </c>
      <c r="AV57" s="233">
        <v>3383</v>
      </c>
      <c r="AW57" s="289"/>
    </row>
    <row r="58" spans="2:49" x14ac:dyDescent="0.2">
      <c r="B58" s="245" t="s">
        <v>273</v>
      </c>
      <c r="C58" s="203" t="s">
        <v>26</v>
      </c>
      <c r="D58" s="309"/>
      <c r="E58" s="310"/>
      <c r="F58" s="310"/>
      <c r="G58" s="310"/>
      <c r="H58" s="310"/>
      <c r="I58" s="309"/>
      <c r="J58" s="231">
        <v>336</v>
      </c>
      <c r="K58" s="232">
        <v>336</v>
      </c>
      <c r="L58" s="232"/>
      <c r="M58" s="232"/>
      <c r="N58" s="232"/>
      <c r="O58" s="231"/>
      <c r="P58" s="231">
        <v>182</v>
      </c>
      <c r="Q58" s="232">
        <v>182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5</v>
      </c>
      <c r="AW58" s="289"/>
    </row>
    <row r="59" spans="2:49" x14ac:dyDescent="0.2">
      <c r="B59" s="245" t="s">
        <v>274</v>
      </c>
      <c r="C59" s="203" t="s">
        <v>27</v>
      </c>
      <c r="D59" s="231">
        <v>12877</v>
      </c>
      <c r="E59" s="232">
        <v>12865</v>
      </c>
      <c r="F59" s="232"/>
      <c r="G59" s="232"/>
      <c r="H59" s="232"/>
      <c r="I59" s="231">
        <v>12003</v>
      </c>
      <c r="J59" s="231">
        <v>54799</v>
      </c>
      <c r="K59" s="232">
        <v>44797</v>
      </c>
      <c r="L59" s="232"/>
      <c r="M59" s="232"/>
      <c r="N59" s="232"/>
      <c r="O59" s="231"/>
      <c r="P59" s="231">
        <v>272636</v>
      </c>
      <c r="Q59" s="232">
        <v>281888</v>
      </c>
      <c r="R59" s="232">
        <v>948</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181285</v>
      </c>
      <c r="AT59" s="233">
        <v>0</v>
      </c>
      <c r="AU59" s="233">
        <v>0</v>
      </c>
      <c r="AV59" s="233">
        <v>40788</v>
      </c>
      <c r="AW59" s="289"/>
    </row>
    <row r="60" spans="2:49" x14ac:dyDescent="0.2">
      <c r="B60" s="245" t="s">
        <v>275</v>
      </c>
      <c r="C60" s="203"/>
      <c r="D60" s="234">
        <f t="shared" ref="D60:AC60" si="0">D$59/12</f>
        <v>1073.0833333333333</v>
      </c>
      <c r="E60" s="235">
        <f t="shared" si="0"/>
        <v>1072.0833333333333</v>
      </c>
      <c r="F60" s="235">
        <f t="shared" si="0"/>
        <v>0</v>
      </c>
      <c r="G60" s="235">
        <f t="shared" si="0"/>
        <v>0</v>
      </c>
      <c r="H60" s="235">
        <f t="shared" si="0"/>
        <v>0</v>
      </c>
      <c r="I60" s="234">
        <f t="shared" si="0"/>
        <v>1000.25</v>
      </c>
      <c r="J60" s="234">
        <f t="shared" si="0"/>
        <v>4566.583333333333</v>
      </c>
      <c r="K60" s="235">
        <f t="shared" si="0"/>
        <v>3733.0833333333335</v>
      </c>
      <c r="L60" s="235">
        <f t="shared" si="0"/>
        <v>0</v>
      </c>
      <c r="M60" s="235">
        <f t="shared" si="0"/>
        <v>0</v>
      </c>
      <c r="N60" s="235">
        <f t="shared" si="0"/>
        <v>0</v>
      </c>
      <c r="O60" s="234">
        <f t="shared" si="0"/>
        <v>0</v>
      </c>
      <c r="P60" s="234">
        <f t="shared" si="0"/>
        <v>22719.666666666668</v>
      </c>
      <c r="Q60" s="235">
        <f t="shared" si="0"/>
        <v>23490.666666666668</v>
      </c>
      <c r="R60" s="235">
        <f t="shared" si="0"/>
        <v>79</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15107.083333333334</v>
      </c>
      <c r="AT60" s="236">
        <f>AT$59/12</f>
        <v>0</v>
      </c>
      <c r="AU60" s="236">
        <f>AU$59/12</f>
        <v>0</v>
      </c>
      <c r="AV60" s="236">
        <f>AV$59/12</f>
        <v>3399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5487657</v>
      </c>
      <c r="E5" s="326">
        <v>4870781.6200003</v>
      </c>
      <c r="F5" s="326"/>
      <c r="G5" s="328"/>
      <c r="H5" s="328"/>
      <c r="I5" s="325">
        <v>4299086</v>
      </c>
      <c r="J5" s="325">
        <v>19858212</v>
      </c>
      <c r="K5" s="326">
        <v>18041254.985964801</v>
      </c>
      <c r="L5" s="326"/>
      <c r="M5" s="326"/>
      <c r="N5" s="326"/>
      <c r="O5" s="325"/>
      <c r="P5" s="325">
        <v>143590228</v>
      </c>
      <c r="Q5" s="326">
        <v>147197151.05608121</v>
      </c>
      <c r="R5" s="326">
        <v>391575.55</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172844237</v>
      </c>
      <c r="AT5" s="327">
        <v>0</v>
      </c>
      <c r="AU5" s="327">
        <v>0</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-86756</v>
      </c>
      <c r="E9" s="362"/>
      <c r="F9" s="362"/>
      <c r="G9" s="362"/>
      <c r="H9" s="362"/>
      <c r="I9" s="364"/>
      <c r="J9" s="318">
        <v>0</v>
      </c>
      <c r="K9" s="362"/>
      <c r="L9" s="362"/>
      <c r="M9" s="362"/>
      <c r="N9" s="362"/>
      <c r="O9" s="364"/>
      <c r="P9" s="318">
        <v>-1369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v>1368.86</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-1532112</v>
      </c>
      <c r="E11" s="319"/>
      <c r="F11" s="319"/>
      <c r="G11" s="319"/>
      <c r="H11" s="319"/>
      <c r="I11" s="318">
        <v>0</v>
      </c>
      <c r="J11" s="318">
        <v>0</v>
      </c>
      <c r="K11" s="319"/>
      <c r="L11" s="319"/>
      <c r="M11" s="319"/>
      <c r="N11" s="319"/>
      <c r="O11" s="318"/>
      <c r="P11" s="318">
        <v>14900</v>
      </c>
      <c r="Q11" s="319">
        <v>0</v>
      </c>
      <c r="R11" s="319">
        <v>0</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3766208</v>
      </c>
      <c r="AT11" s="321">
        <v>0</v>
      </c>
      <c r="AU11" s="321">
        <v>0</v>
      </c>
      <c r="AV11" s="368"/>
      <c r="AW11" s="374"/>
    </row>
    <row r="12" spans="2:49" ht="15" customHeight="1" x14ac:dyDescent="0.2">
      <c r="B12" s="343" t="s">
        <v>282</v>
      </c>
      <c r="C12" s="331" t="s">
        <v>44</v>
      </c>
      <c r="D12" s="318">
        <v>-1192192</v>
      </c>
      <c r="E12" s="363"/>
      <c r="F12" s="363"/>
      <c r="G12" s="363"/>
      <c r="H12" s="363"/>
      <c r="I12" s="365"/>
      <c r="J12" s="318">
        <v>6191</v>
      </c>
      <c r="K12" s="363"/>
      <c r="L12" s="363"/>
      <c r="M12" s="363"/>
      <c r="N12" s="363"/>
      <c r="O12" s="365"/>
      <c r="P12" s="318">
        <v>7400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9395995</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434600.45</v>
      </c>
      <c r="F15" s="319"/>
      <c r="G15" s="319"/>
      <c r="H15" s="319"/>
      <c r="I15" s="318">
        <v>434600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492073</v>
      </c>
      <c r="F16" s="319"/>
      <c r="G16" s="319"/>
      <c r="H16" s="319"/>
      <c r="I16" s="318">
        <v>492073</v>
      </c>
      <c r="J16" s="318"/>
      <c r="K16" s="319">
        <v>-1525019.48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-17299.979999999981</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1228535.3600000001</v>
      </c>
      <c r="F20" s="319"/>
      <c r="G20" s="319"/>
      <c r="H20" s="319"/>
      <c r="I20" s="318">
        <v>1228535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4372960</v>
      </c>
      <c r="E23" s="362"/>
      <c r="F23" s="362"/>
      <c r="G23" s="362"/>
      <c r="H23" s="362"/>
      <c r="I23" s="364"/>
      <c r="J23" s="318">
        <v>15224762</v>
      </c>
      <c r="K23" s="362"/>
      <c r="L23" s="362"/>
      <c r="M23" s="362"/>
      <c r="N23" s="362"/>
      <c r="O23" s="364"/>
      <c r="P23" s="318">
        <v>130504154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150024438</v>
      </c>
      <c r="AT23" s="321">
        <v>15981</v>
      </c>
      <c r="AU23" s="321">
        <v>0</v>
      </c>
      <c r="AV23" s="368"/>
      <c r="AW23" s="374"/>
    </row>
    <row r="24" spans="2:49" ht="28.5" customHeight="1" x14ac:dyDescent="0.2">
      <c r="B24" s="345" t="s">
        <v>114</v>
      </c>
      <c r="C24" s="331"/>
      <c r="D24" s="365"/>
      <c r="E24" s="319">
        <v>4454972.79</v>
      </c>
      <c r="F24" s="319"/>
      <c r="G24" s="319"/>
      <c r="H24" s="319"/>
      <c r="I24" s="318">
        <v>4020008</v>
      </c>
      <c r="J24" s="365"/>
      <c r="K24" s="319">
        <v>14348895.119999999</v>
      </c>
      <c r="L24" s="319"/>
      <c r="M24" s="319"/>
      <c r="N24" s="319"/>
      <c r="O24" s="318"/>
      <c r="P24" s="365"/>
      <c r="Q24" s="319">
        <v>130477690.26000001</v>
      </c>
      <c r="R24" s="319">
        <v>608656.06000000006</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686116</v>
      </c>
      <c r="E26" s="362"/>
      <c r="F26" s="362"/>
      <c r="G26" s="362"/>
      <c r="H26" s="362"/>
      <c r="I26" s="364"/>
      <c r="J26" s="318">
        <v>2000408</v>
      </c>
      <c r="K26" s="362"/>
      <c r="L26" s="362"/>
      <c r="M26" s="362"/>
      <c r="N26" s="362"/>
      <c r="O26" s="364"/>
      <c r="P26" s="318">
        <v>13919830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20770983</v>
      </c>
      <c r="AT26" s="321">
        <v>0</v>
      </c>
      <c r="AU26" s="321">
        <v>0</v>
      </c>
      <c r="AV26" s="368"/>
      <c r="AW26" s="374"/>
    </row>
    <row r="27" spans="2:49" s="5" customFormat="1" ht="25.5" x14ac:dyDescent="0.2">
      <c r="B27" s="345" t="s">
        <v>85</v>
      </c>
      <c r="C27" s="331"/>
      <c r="D27" s="365"/>
      <c r="E27" s="319">
        <v>87415.776899999997</v>
      </c>
      <c r="F27" s="319"/>
      <c r="G27" s="319"/>
      <c r="H27" s="319"/>
      <c r="I27" s="318">
        <v>71437</v>
      </c>
      <c r="J27" s="365"/>
      <c r="K27" s="319">
        <v>256211.06790935987</v>
      </c>
      <c r="L27" s="319"/>
      <c r="M27" s="319"/>
      <c r="N27" s="319"/>
      <c r="O27" s="318"/>
      <c r="P27" s="365"/>
      <c r="Q27" s="319">
        <v>2168036.816245582</v>
      </c>
      <c r="R27" s="319">
        <v>11194.709500000001</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1550528</v>
      </c>
      <c r="E28" s="363"/>
      <c r="F28" s="363"/>
      <c r="G28" s="363"/>
      <c r="H28" s="363"/>
      <c r="I28" s="365"/>
      <c r="J28" s="318">
        <v>2757266</v>
      </c>
      <c r="K28" s="363"/>
      <c r="L28" s="363"/>
      <c r="M28" s="363"/>
      <c r="N28" s="363"/>
      <c r="O28" s="365"/>
      <c r="P28" s="318">
        <v>12840242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12434248</v>
      </c>
      <c r="AT28" s="321">
        <v>15981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15135</v>
      </c>
      <c r="K30" s="362"/>
      <c r="L30" s="362"/>
      <c r="M30" s="362"/>
      <c r="N30" s="362"/>
      <c r="O30" s="364"/>
      <c r="P30" s="318">
        <v>47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-17768.04</v>
      </c>
      <c r="L31" s="319"/>
      <c r="M31" s="319"/>
      <c r="N31" s="319"/>
      <c r="O31" s="318"/>
      <c r="P31" s="365"/>
      <c r="Q31" s="319">
        <v>-2436.77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32903</v>
      </c>
      <c r="K32" s="363"/>
      <c r="L32" s="363"/>
      <c r="M32" s="363"/>
      <c r="N32" s="363"/>
      <c r="O32" s="365"/>
      <c r="P32" s="318">
        <v>2484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-86756</v>
      </c>
      <c r="E38" s="362"/>
      <c r="F38" s="362"/>
      <c r="G38" s="362"/>
      <c r="H38" s="362"/>
      <c r="I38" s="364"/>
      <c r="J38" s="318">
        <v>0</v>
      </c>
      <c r="K38" s="362"/>
      <c r="L38" s="362"/>
      <c r="M38" s="362"/>
      <c r="N38" s="362"/>
      <c r="O38" s="364"/>
      <c r="P38" s="318">
        <v>-1369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v>1368.86</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-1532112</v>
      </c>
      <c r="E41" s="362"/>
      <c r="F41" s="362"/>
      <c r="G41" s="362"/>
      <c r="H41" s="362"/>
      <c r="I41" s="364"/>
      <c r="J41" s="318">
        <v>0</v>
      </c>
      <c r="K41" s="362"/>
      <c r="L41" s="362"/>
      <c r="M41" s="362"/>
      <c r="N41" s="362"/>
      <c r="O41" s="364"/>
      <c r="P41" s="318">
        <v>14900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3766208</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v>0</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-1192192</v>
      </c>
      <c r="E43" s="363"/>
      <c r="F43" s="363"/>
      <c r="G43" s="363"/>
      <c r="H43" s="363"/>
      <c r="I43" s="365"/>
      <c r="J43" s="318">
        <v>6191</v>
      </c>
      <c r="K43" s="363"/>
      <c r="L43" s="363"/>
      <c r="M43" s="363"/>
      <c r="N43" s="363"/>
      <c r="O43" s="365"/>
      <c r="P43" s="318">
        <v>7400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9395995</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56708</v>
      </c>
      <c r="E49" s="319">
        <v>28472.69</v>
      </c>
      <c r="F49" s="319"/>
      <c r="G49" s="319"/>
      <c r="H49" s="319"/>
      <c r="I49" s="318">
        <v>27905</v>
      </c>
      <c r="J49" s="318">
        <v>110997</v>
      </c>
      <c r="K49" s="319">
        <v>313068.97624961188</v>
      </c>
      <c r="L49" s="319"/>
      <c r="M49" s="319"/>
      <c r="N49" s="319"/>
      <c r="O49" s="318"/>
      <c r="P49" s="318">
        <v>676072</v>
      </c>
      <c r="Q49" s="319">
        <v>3119992.5626051533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6446556</v>
      </c>
      <c r="AT49" s="321">
        <v>0</v>
      </c>
      <c r="AU49" s="321">
        <v>0</v>
      </c>
      <c r="AV49" s="368"/>
      <c r="AW49" s="374"/>
    </row>
    <row r="50" spans="2:49" x14ac:dyDescent="0.2">
      <c r="B50" s="343" t="s">
        <v>119</v>
      </c>
      <c r="C50" s="331" t="s">
        <v>34</v>
      </c>
      <c r="D50" s="318">
        <v>8749</v>
      </c>
      <c r="E50" s="363"/>
      <c r="F50" s="363"/>
      <c r="G50" s="363"/>
      <c r="H50" s="363"/>
      <c r="I50" s="365"/>
      <c r="J50" s="318">
        <v>131954</v>
      </c>
      <c r="K50" s="363"/>
      <c r="L50" s="363"/>
      <c r="M50" s="363"/>
      <c r="N50" s="363"/>
      <c r="O50" s="365"/>
      <c r="P50" s="318">
        <v>326247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25077</v>
      </c>
      <c r="AT50" s="321">
        <v>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893129.98076617275</v>
      </c>
      <c r="L53" s="319"/>
      <c r="M53" s="319"/>
      <c r="N53" s="319"/>
      <c r="O53" s="318"/>
      <c r="P53" s="318">
        <v>0</v>
      </c>
      <c r="Q53" s="319">
        <v>-1341926.5898898938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3033913</v>
      </c>
      <c r="E54" s="323">
        <f>E24+E27+E31+E35-E36+E39+E42+E45+E46-E49+E51+E52+E53</f>
        <v>4513915.8768999996</v>
      </c>
      <c r="F54" s="323">
        <f>F24+F27+F31+F35-F36+F39+F42+F45+F46-F49+F51+F52+F53</f>
        <v>0</v>
      </c>
      <c r="G54" s="323">
        <f>G24+G27+G31+G35-G36+G39+G42+G45+G46-G49+G51+G52+G53</f>
        <v>0</v>
      </c>
      <c r="H54" s="323">
        <f>H24+H27+H31+H35-H36+H39+H42+H45+H46-H49+H51+H52+H53</f>
        <v>0</v>
      </c>
      <c r="I54" s="322">
        <f>I24+I27+I31+I35-I36+I39+I42+I45+I46-I49+I51+I52+I53</f>
        <v>4063540</v>
      </c>
      <c r="J54" s="322">
        <f>J23+J26-J28+J30-J32+J34-J36+J38+J41-J43+J45+J46-J47-J49+J50+J51+J52+J53</f>
        <v>14464902</v>
      </c>
      <c r="K54" s="323">
        <f>K24+K27+K31+K35-K36+K39+K42+K45+K46-K49+K51+K52+K53</f>
        <v>15167399.152425922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131237611</v>
      </c>
      <c r="Q54" s="323">
        <f>Q24+Q27+Q31+Q35-Q36+Q39+Q42+Q45+Q46-Q49+Q51+Q52+Q53</f>
        <v>128181371.15375054</v>
      </c>
      <c r="R54" s="323">
        <f>R24+R27+R31+R35-R36+R39+R42+R45+R46-R49+R51+R52+R53</f>
        <v>621219.62950000004</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146309907</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6940.6</v>
      </c>
      <c r="E55" s="323">
        <f t="shared" si="0"/>
        <v>6940.6</v>
      </c>
      <c r="F55" s="323">
        <f t="shared" si="0"/>
        <v>0</v>
      </c>
      <c r="G55" s="323">
        <f t="shared" si="0"/>
        <v>0</v>
      </c>
      <c r="H55" s="323">
        <f t="shared" si="0"/>
        <v>0</v>
      </c>
      <c r="I55" s="322">
        <f t="shared" si="0"/>
        <v>6253</v>
      </c>
      <c r="J55" s="322">
        <f t="shared" si="0"/>
        <v>31831.77</v>
      </c>
      <c r="K55" s="323">
        <f t="shared" si="0"/>
        <v>28366.544791166401</v>
      </c>
      <c r="L55" s="323">
        <f t="shared" si="0"/>
        <v>0</v>
      </c>
      <c r="M55" s="323">
        <f t="shared" si="0"/>
        <v>0</v>
      </c>
      <c r="N55" s="323">
        <f t="shared" si="0"/>
        <v>0</v>
      </c>
      <c r="O55" s="322">
        <f t="shared" si="0"/>
        <v>0</v>
      </c>
      <c r="P55" s="322">
        <f t="shared" si="0"/>
        <v>166746.75</v>
      </c>
      <c r="Q55" s="323">
        <f t="shared" si="0"/>
        <v>170817.6552088336</v>
      </c>
      <c r="R55" s="323">
        <f t="shared" si="0"/>
        <v>605.67999999999995</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6940.6</v>
      </c>
      <c r="E56" s="319">
        <v>6940.6</v>
      </c>
      <c r="F56" s="319"/>
      <c r="G56" s="319"/>
      <c r="H56" s="319"/>
      <c r="I56" s="318">
        <v>6408</v>
      </c>
      <c r="J56" s="318">
        <v>31831.77</v>
      </c>
      <c r="K56" s="319">
        <v>28366.544791166401</v>
      </c>
      <c r="L56" s="319"/>
      <c r="M56" s="319"/>
      <c r="N56" s="319"/>
      <c r="O56" s="318"/>
      <c r="P56" s="318">
        <v>166746.75</v>
      </c>
      <c r="Q56" s="319">
        <v>170817.6552088336</v>
      </c>
      <c r="R56" s="319">
        <v>605.67999999999995</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7022</v>
      </c>
      <c r="E57" s="319">
        <v>7022.24</v>
      </c>
      <c r="F57" s="319"/>
      <c r="G57" s="319"/>
      <c r="H57" s="319"/>
      <c r="I57" s="318">
        <v>6253</v>
      </c>
      <c r="J57" s="318">
        <v>103916</v>
      </c>
      <c r="K57" s="319">
        <v>103916.25</v>
      </c>
      <c r="L57" s="319"/>
      <c r="M57" s="319"/>
      <c r="N57" s="319"/>
      <c r="O57" s="318"/>
      <c r="P57" s="318">
        <v>590485</v>
      </c>
      <c r="Q57" s="319">
        <v>591820.81999999995</v>
      </c>
      <c r="R57" s="319">
        <v>1335.49</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38058</v>
      </c>
      <c r="AT57" s="321">
        <v>0</v>
      </c>
      <c r="AU57" s="321">
        <v>0</v>
      </c>
      <c r="AV57" s="321">
        <v>0</v>
      </c>
      <c r="AW57" s="374"/>
    </row>
    <row r="58" spans="2:49" s="5" customFormat="1" x14ac:dyDescent="0.2">
      <c r="B58" s="351" t="s">
        <v>494</v>
      </c>
      <c r="C58" s="352"/>
      <c r="D58" s="353"/>
      <c r="E58" s="354">
        <v>206721.87</v>
      </c>
      <c r="F58" s="354"/>
      <c r="G58" s="354"/>
      <c r="H58" s="354"/>
      <c r="I58" s="353">
        <v>196124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935" yWindow="46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G33" sqref="G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1743363.24</v>
      </c>
      <c r="D5" s="403">
        <v>9016553.1300000008</v>
      </c>
      <c r="E5" s="454"/>
      <c r="F5" s="454"/>
      <c r="G5" s="448"/>
      <c r="H5" s="402">
        <v>23467006.530000001</v>
      </c>
      <c r="I5" s="403">
        <v>18576261.440000001</v>
      </c>
      <c r="J5" s="454"/>
      <c r="K5" s="454"/>
      <c r="L5" s="448"/>
      <c r="M5" s="402">
        <v>157205665.81</v>
      </c>
      <c r="N5" s="403">
        <v>143414841.16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1737858.0597000001</v>
      </c>
      <c r="D6" s="398">
        <v>8836198.0141000003</v>
      </c>
      <c r="E6" s="400">
        <f>SUM('Pt 1 Summary of Data'!E$12,'Pt 1 Summary of Data'!E$22)+SUM('Pt 1 Summary of Data'!G$12,'Pt 1 Summary of Data'!G$22)-SUM('Pt 1 Summary of Data'!H$12,'Pt 1 Summary of Data'!H$22)</f>
        <v>4520856.4768999992</v>
      </c>
      <c r="F6" s="400">
        <f t="shared" ref="F6:F11" si="0">SUM(C6:E6)</f>
        <v>15094912.550700001</v>
      </c>
      <c r="G6" s="401">
        <f>SUM('Pt 1 Summary of Data'!I$12,'Pt 1 Summary of Data'!I$22)</f>
        <v>4069793</v>
      </c>
      <c r="H6" s="397">
        <v>23407415.449999578</v>
      </c>
      <c r="I6" s="398">
        <v>18174978.076666266</v>
      </c>
      <c r="J6" s="400">
        <f>SUM('Pt 1 Summary of Data'!K$12,'Pt 1 Summary of Data'!K$22)+SUM('Pt 1 Summary of Data'!M$12,'Pt 1 Summary of Data'!M$22)-SUM('Pt 1 Summary of Data'!N$12,'Pt 1 Summary of Data'!N$22)</f>
        <v>15195765.697217088</v>
      </c>
      <c r="K6" s="400">
        <f>SUM(H6:J6)</f>
        <v>56778159.223882928</v>
      </c>
      <c r="L6" s="401">
        <f>SUM('Pt 1 Summary of Data'!O$12,'Pt 1 Summary of Data'!O$22)</f>
        <v>0</v>
      </c>
      <c r="M6" s="397">
        <v>157360906.69704095</v>
      </c>
      <c r="N6" s="398">
        <v>143435116.96635261</v>
      </c>
      <c r="O6" s="400">
        <f>SUM('Pt 1 Summary of Data'!Q$12,'Pt 1 Summary of Data'!Q$22)+SUM('Pt 1 Summary of Data'!S$12,'Pt 1 Summary of Data'!S$22)-SUM('Pt 1 Summary of Data'!T$12,'Pt 1 Summary of Data'!T$22)</f>
        <v>128352188.80895938</v>
      </c>
      <c r="P6" s="400">
        <f>SUM(M6:O6)</f>
        <v>429148212.47235292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21473.45</v>
      </c>
      <c r="D7" s="398">
        <v>36376.74</v>
      </c>
      <c r="E7" s="400">
        <f>SUM('Pt 1 Summary of Data'!E$37:E$41)+SUM('Pt 1 Summary of Data'!G$37:G$41)-SUM('Pt 1 Summary of Data'!H$37:H$41)+MAX(0,MIN('Pt 1 Summary of Data'!E$42+'Pt 1 Summary of Data'!G$42-'Pt 1 Summary of Data'!H$42,0.3%*('Pt 1 Summary of Data'!E$5+'Pt 1 Summary of Data'!G$5-'Pt 1 Summary of Data'!H$5-SUM(E$9:E$11))))</f>
        <v>30723.56</v>
      </c>
      <c r="F7" s="400">
        <f t="shared" si="0"/>
        <v>88573.75</v>
      </c>
      <c r="G7" s="401">
        <f>SUM('Pt 1 Summary of Data'!I$37:I$41)+MAX(0,MIN(VALUE('Pt 1 Summary of Data'!I$42),0.3%*('Pt 1 Summary of Data'!I$5-SUM(G$9:G$10))))</f>
        <v>26816</v>
      </c>
      <c r="H7" s="397">
        <v>526720.59</v>
      </c>
      <c r="I7" s="398">
        <v>587130.66</v>
      </c>
      <c r="J7" s="400">
        <f>SUM('Pt 1 Summary of Data'!K$37:K$41)+SUM('Pt 1 Summary of Data'!M$37:M$41)-SUM('Pt 1 Summary of Data'!N$37:N$41)+MAX(0,MIN('Pt 1 Summary of Data'!K$42+'Pt 1 Summary of Data'!M$42-'Pt 1 Summary of Data'!N$42,0.3%*('Pt 1 Summary of Data'!K$5+'Pt 1 Summary of Data'!M$5-'Pt 1 Summary of Data'!N$5-SUM(J$10:J$11))))</f>
        <v>194144.92544893341</v>
      </c>
      <c r="K7" s="400">
        <f>SUM(H7:J7)</f>
        <v>1307996.1754489334</v>
      </c>
      <c r="L7" s="401">
        <f>SUM('Pt 1 Summary of Data'!O$37:O$41)+MAX(0,MIN(VALUE('Pt 1 Summary of Data'!O$42),0.3%*('Pt 1 Summary of Data'!O$5-L$10)))</f>
        <v>0</v>
      </c>
      <c r="M7" s="397">
        <v>2449693.4700000002</v>
      </c>
      <c r="N7" s="398">
        <v>2244667.86</v>
      </c>
      <c r="O7" s="400">
        <f>SUM('Pt 1 Summary of Data'!Q$37:Q$41)+SUM('Pt 1 Summary of Data'!S$37:S$41)-SUM('Pt 1 Summary of Data'!T$37:T$41)+MAX(0,MIN('Pt 1 Summary of Data'!Q$42+'Pt 1 Summary of Data'!S$42-'Pt 1 Summary of Data'!T$42,0.3%*('Pt 1 Summary of Data'!Q$5+'Pt 1 Summary of Data'!S$5-'Pt 1 Summary of Data'!T$5)))</f>
        <v>1461612.9845510668</v>
      </c>
      <c r="P7" s="400">
        <f>SUM(M7:O7)</f>
        <v>6155974.3145510666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203277.44</v>
      </c>
      <c r="E8" s="400">
        <f>'Pt 2 Premium and Claims'!E58+'Pt 2 Premium and Claims'!G58-'Pt 2 Premium and Claims'!H58</f>
        <v>206721.87</v>
      </c>
      <c r="F8" s="400">
        <f t="shared" si="0"/>
        <v>409999.31</v>
      </c>
      <c r="G8" s="401">
        <f>'Pt 2 Premium and Claims'!I58</f>
        <v>196124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1706900.43</v>
      </c>
      <c r="E9" s="400">
        <f>'Pt 2 Premium and Claims'!E$15+'Pt 2 Premium and Claims'!G$15-'Pt 2 Premium and Claims'!H$15</f>
        <v>434600.45</v>
      </c>
      <c r="F9" s="400">
        <f t="shared" si="0"/>
        <v>2141500.88</v>
      </c>
      <c r="G9" s="401">
        <f>'Pt 2 Premium and Claims'!I$15</f>
        <v>434600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614409.67000000004</v>
      </c>
      <c r="E10" s="400">
        <f>'Pt 2 Premium and Claims'!E$16+'Pt 2 Premium and Claims'!G$16-'Pt 2 Premium and Claims'!H$16</f>
        <v>492073</v>
      </c>
      <c r="F10" s="400">
        <f t="shared" si="0"/>
        <v>1106482.67</v>
      </c>
      <c r="G10" s="401">
        <f>'Pt 2 Premium and Claims'!I$16</f>
        <v>492073</v>
      </c>
      <c r="H10" s="443"/>
      <c r="I10" s="398">
        <v>-1028302.66</v>
      </c>
      <c r="J10" s="400">
        <f>'Pt 2 Premium and Claims'!K$16+'Pt 2 Premium and Claims'!M$16-'Pt 2 Premium and Claims'!N$16</f>
        <v>-1525019.48</v>
      </c>
      <c r="K10" s="400">
        <f>SUM(H10:J10)</f>
        <v>-2553322.14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97267.508480000004</v>
      </c>
      <c r="E11" s="400">
        <f>'Pt 2 Premium and Claims'!E$17+'Pt 2 Premium and Claims'!G$17-'Pt 2 Premium and Claims'!H$17</f>
        <v>-17299.979999999981</v>
      </c>
      <c r="F11" s="400">
        <f t="shared" si="0"/>
        <v>79967.528480000023</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1759331.5097000001</v>
      </c>
      <c r="D12" s="400">
        <f>SUM(D$6:D$7) - SUM(D$8:D$11)+IF(AND(OR('Company Information'!$C$12="District of Columbia",'Company Information'!$C$12="Massachusetts",'Company Information'!$C$12="Vermont"),SUM($C$6:$F$11,$C$15:$F$16,$C$38:$D$38)&lt;&gt;0),SUM(I$6:I$7) - SUM(I$10:I$11),0)</f>
        <v>6250719.7056200001</v>
      </c>
      <c r="E12" s="400">
        <f>SUM(E$6:E$7)-SUM(E$8:E$11)+IF(AND(OR('Company Information'!$C$12="District of Columbia",'Company Information'!$C$12="Massachusetts",'Company Information'!$C$12="Vermont"),SUM($C$6:$F$11,$C$15:$F$16,$C$38:$D$38)&lt;&gt;0),SUM(J$6:J$7)-SUM(J$10:J$11),0)</f>
        <v>3435484.6968999989</v>
      </c>
      <c r="F12" s="400">
        <f>IFERROR(SUM(C$12:E$12)+C$17*MAX(0,E$50-C$50)+D$17*MAX(0,E$50-D$50),0)</f>
        <v>11445535.912219999</v>
      </c>
      <c r="G12" s="447"/>
      <c r="H12" s="399">
        <f>SUM(H$6:H$7)+IF(AND(OR('Company Information'!$C$12="District of Columbia",'Company Information'!$C$12="Massachusetts",'Company Information'!$C$12="Vermont"),SUM($H$6:$K$11,$H$15:$K$16,$H$38:$I$38)&lt;&gt;0),SUM(C$6:C$7),0)</f>
        <v>23934136.039999578</v>
      </c>
      <c r="I12" s="400">
        <f>SUM(I$6:I$7) - SUM(I$10:I$11)+IF(AND(OR('Company Information'!$C$12="District of Columbia",'Company Information'!$C$12="Massachusetts",'Company Information'!$C$12="Vermont"),SUM($H$6:$K$11,$H$15:$K$16,$H$38:$I$38)&lt;&gt;0),SUM(D$6:D$7) - SUM(D$8:D$11),0)</f>
        <v>19790411.396666266</v>
      </c>
      <c r="J12" s="400">
        <f>SUM(J$6:J$7)-SUM(J$10:J$11)+IF(AND(OR('Company Information'!$C$12="District of Columbia",'Company Information'!$C$12="Massachusetts",'Company Information'!$C$12="Vermont"),SUM($H$6:$K$11,$H$15:$K$16,$H$38:$I$38)&lt;&gt;0),SUM(E$6:E$7)-SUM(E$8:E$11),0)</f>
        <v>16914930.10266602</v>
      </c>
      <c r="K12" s="400">
        <f>IFERROR(SUM(H$12:J$12)+H$17*MAX(0,J$50-H$50)+I$17*MAX(0,J$50-I$50),0)</f>
        <v>60639477.539331868</v>
      </c>
      <c r="L12" s="447"/>
      <c r="M12" s="399">
        <f>SUM(M$6:M$7)</f>
        <v>159810600.16704094</v>
      </c>
      <c r="N12" s="400">
        <f>SUM(N$6:N$7)</f>
        <v>145679784.82635263</v>
      </c>
      <c r="O12" s="400">
        <f>SUM(O$6:O$7)</f>
        <v>129813801.79351045</v>
      </c>
      <c r="P12" s="400">
        <f>SUM(M$12:O$12)+M$17*MAX(0,O$50-M$50)+N$17*MAX(0,O$50-N$50)</f>
        <v>435304186.78690398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1236275.1399999999</v>
      </c>
      <c r="D15" s="403">
        <v>5807495.54</v>
      </c>
      <c r="E15" s="395">
        <f>SUM('Pt 1 Summary of Data'!E$5:E$7)+SUM('Pt 1 Summary of Data'!G$5:G$7)-SUM('Pt 1 Summary of Data'!H$5:H$7)-SUM(E$9:E$11)</f>
        <v>4871166.3100003004</v>
      </c>
      <c r="F15" s="395">
        <f>SUM(C15:E15)</f>
        <v>11914936.9900003</v>
      </c>
      <c r="G15" s="396">
        <f>SUM('Pt 1 Summary of Data'!I$5:I$7)-SUM(G$9:G$10)</f>
        <v>4299086</v>
      </c>
      <c r="H15" s="402">
        <v>30026402.670000002</v>
      </c>
      <c r="I15" s="403">
        <v>23572837.960000001</v>
      </c>
      <c r="J15" s="395">
        <f>SUM('Pt 1 Summary of Data'!K$5:K$7)+SUM('Pt 1 Summary of Data'!M$5:M$7)-SUM('Pt 1 Summary of Data'!N$5:N$7)-SUM(J$10:J$11)</f>
        <v>18056783.905964799</v>
      </c>
      <c r="K15" s="395">
        <f>SUM(H15:J15)</f>
        <v>71656024.535964802</v>
      </c>
      <c r="L15" s="396">
        <f>SUM('Pt 1 Summary of Data'!O$5:O$7)-L$10</f>
        <v>0</v>
      </c>
      <c r="M15" s="402">
        <v>175174985.19</v>
      </c>
      <c r="N15" s="403">
        <v>159469186.84999999</v>
      </c>
      <c r="O15" s="395">
        <f>SUM('Pt 1 Summary of Data'!Q$5:Q$7)+SUM('Pt 1 Summary of Data'!S$5:S$7)-SUM('Pt 1 Summary of Data'!T$5:T$7)+N$56</f>
        <v>147317798.94608119</v>
      </c>
      <c r="P15" s="395">
        <f>SUM(M15:O15)</f>
        <v>481961970.98608112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-346428</v>
      </c>
      <c r="D16" s="398">
        <v>-41217.94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867487.04793540423</v>
      </c>
      <c r="F16" s="400">
        <f>SUM(C16:E16)</f>
        <v>479841.10793540423</v>
      </c>
      <c r="G16" s="401">
        <f>SUM('Pt 1 Summary of Data'!I$25:I$28,'Pt 1 Summary of Data'!I$30,'Pt 1 Summary of Data'!I$34:I$35)+IF('Company Information'!$C$15="No",IF(MAX('Pt 1 Summary of Data'!I$31:I$32)=0,MIN('Pt 1 Summary of Data'!I$31:I$32),MAX('Pt 1 Summary of Data'!I$31:I$32)),SUM('Pt 1 Summary of Data'!I$31:I$32))</f>
        <v>609876</v>
      </c>
      <c r="H16" s="397">
        <v>939120.88</v>
      </c>
      <c r="I16" s="398">
        <v>1450771.59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738061.95863056544</v>
      </c>
      <c r="K16" s="400">
        <f>SUM(H16:J16)</f>
        <v>3127954.4286305658</v>
      </c>
      <c r="L16" s="401">
        <f>SUM('Pt 1 Summary of Data'!O$25:O$28,'Pt 1 Summary of Data'!O$30,'Pt 1 Summary of Data'!O$34:O$35)+IF('Company Information'!$C$15="No",IF(MAX('Pt 1 Summary of Data'!O$31:O$32)=0,MIN('Pt 1 Summary of Data'!O$31:O$32),MAX('Pt 1 Summary of Data'!O$31:O$32)),SUM('Pt 1 Summary of Data'!O$31:O$32))</f>
        <v>0</v>
      </c>
      <c r="M16" s="397">
        <v>-442500.48</v>
      </c>
      <c r="N16" s="398">
        <v>2359947.58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3954468.2299072072</v>
      </c>
      <c r="P16" s="400">
        <f>SUM(M16:O16)</f>
        <v>5871915.3299072068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1582703.14</v>
      </c>
      <c r="D17" s="400">
        <f>D$15-D$16+IF(AND(OR('Company Information'!$C$12="District of Columbia",'Company Information'!$C$12="Massachusetts",'Company Information'!$C$12="Vermont"),SUM($C$6:$F$11,$C$15:$F$16,$C$38:$D$38)&lt;&gt;0),I$15-I$16,0)</f>
        <v>5848713.4800000004</v>
      </c>
      <c r="E17" s="400">
        <f>E$15-E$16+IF(AND(OR('Company Information'!$C$12="District of Columbia",'Company Information'!$C$12="Massachusetts",'Company Information'!$C$12="Vermont"),SUM($C$6:$F$11,$C$15:$F$16,$C$38:$D$38)&lt;&gt;0),J$15-J$16,0)</f>
        <v>4003679.2620648961</v>
      </c>
      <c r="F17" s="400">
        <f>F$15-F$16+IF(AND(OR('Company Information'!$C$12="District of Columbia",'Company Information'!$C$12="Massachusetts",'Company Information'!$C$12="Vermont"),SUM($C$6:$F$11,$C$15:$F$16,$C$38:$D$38)&lt;&gt;0),K$15-K$16,0)</f>
        <v>11435095.882064896</v>
      </c>
      <c r="G17" s="450"/>
      <c r="H17" s="399">
        <f>H$15-H$16+IF(AND(OR('Company Information'!$C$12="District of Columbia",'Company Information'!$C$12="Massachusetts",'Company Information'!$C$12="Vermont"),SUM($H$6:$K$11,$H$15:$K$16,$H$38:$I$38)&lt;&gt;0),C$15-C$16,0)</f>
        <v>29087281.790000003</v>
      </c>
      <c r="I17" s="400">
        <f>I$15-I$16+IF(AND(OR('Company Information'!$C$12="District of Columbia",'Company Information'!$C$12="Massachusetts",'Company Information'!$C$12="Vermont"),SUM($H$6:$K$11,$H$15:$K$16,$H$38:$I$38)&lt;&gt;0),D$15-D$16,0)</f>
        <v>22122066.370000001</v>
      </c>
      <c r="J17" s="400">
        <f>J$15-J$16+IF(AND(OR('Company Information'!$C$12="District of Columbia",'Company Information'!$C$12="Massachusetts",'Company Information'!$C$12="Vermont"),SUM($H$6:$K$11,$H$15:$K$16,$H$38:$I$38)&lt;&gt;0),E$15-E$16,0)</f>
        <v>17318721.947334234</v>
      </c>
      <c r="K17" s="400">
        <f>K$15-K$16+IF(AND(OR('Company Information'!$C$12="District of Columbia",'Company Information'!$C$12="Massachusetts",'Company Information'!$C$12="Vermont"),SUM($H$6:$K$11,$H$15:$K$16,$H$38:$I$38)&lt;&gt;0),F$15-F$16,0)</f>
        <v>68528070.107334241</v>
      </c>
      <c r="L17" s="450"/>
      <c r="M17" s="399">
        <f>M$15-M$16</f>
        <v>175617485.66999999</v>
      </c>
      <c r="N17" s="400">
        <f>N$15-N$16</f>
        <v>157109239.26999998</v>
      </c>
      <c r="O17" s="400">
        <f>O$15-O$16</f>
        <v>143363330.71617398</v>
      </c>
      <c r="P17" s="400">
        <f>P$15-P$16</f>
        <v>476090055.65617394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2828227</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794447</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184460.5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66536</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184460.5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110676.3</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1421502.2</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1588783.5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1421502.2</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2877583.8</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1347718</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110676.3</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1514999.3</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1347718</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2951368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0.95827663646146466</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-17299.979999999981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-17299.979999999981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153</v>
      </c>
      <c r="D38" s="405">
        <v>1205.75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1072.0833333333333</v>
      </c>
      <c r="F38" s="432">
        <f>SUM(C$38:E$38)+IF(AND(OR('Company Information'!$C$12="District of Columbia",'Company Information'!$C$12="Massachusetts",'Company Information'!$C$12="Vermont"),SUM($C$6:$F$11,$C$15:$F$16,$C$38:$D$38)&lt;&gt;0,SUM(C$38:D$38)&lt;&gt;SUM(H$38:I$38)),SUM(H$38:I$38),0)</f>
        <v>2430.833333333333</v>
      </c>
      <c r="G38" s="448"/>
      <c r="H38" s="404">
        <v>6395</v>
      </c>
      <c r="I38" s="405">
        <v>4907.83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3733.0833333333335</v>
      </c>
      <c r="K38" s="432">
        <f>SUM(H$38:J$38)+IF(AND(OR('Company Information'!$C$12="District of Columbia",'Company Information'!$C$12="Massachusetts",'Company Information'!$C$12="Vermont"),SUM($H$6:$K$11,$H$15:$K$16,$H$38:$I$38)&lt;&gt;0,SUM(H$38:I$38)&lt;&gt;SUM(C$38:D$38)),SUM(C$38:D$38),0)</f>
        <v>15035.913333333334</v>
      </c>
      <c r="L38" s="448"/>
      <c r="M38" s="404">
        <v>32078</v>
      </c>
      <c r="N38" s="405">
        <v>27141.33</v>
      </c>
      <c r="O38" s="432">
        <f>('Pt 1 Summary of Data'!Q$59+'Pt 1 Summary of Data'!S$59-'Pt 1 Summary of Data'!T$59)/12</f>
        <v>23490.666666666668</v>
      </c>
      <c r="P38" s="432">
        <f>SUM(M$38:O$38)</f>
        <v>82709.996666666673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5.3429444444444446E-2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2.2642724444444443E-2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4600</v>
      </c>
      <c r="G40" s="447"/>
      <c r="H40" s="443"/>
      <c r="I40" s="441"/>
      <c r="J40" s="441"/>
      <c r="K40" s="398">
        <v>1357</v>
      </c>
      <c r="L40" s="447"/>
      <c r="M40" s="443"/>
      <c r="N40" s="441"/>
      <c r="O40" s="441"/>
      <c r="P40" s="398">
        <v>1244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7.2873487866666656E-2</v>
      </c>
      <c r="G42" s="447"/>
      <c r="H42" s="443"/>
      <c r="I42" s="441"/>
      <c r="J42" s="441"/>
      <c r="K42" s="436">
        <f ca="1">IF(OR(K$38&lt;1000,K$38&gt;=75000),0,K$39*K$41)</f>
        <v>2.2642724444444443E-2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1.0687341287951071</v>
      </c>
      <c r="E45" s="436">
        <f>IF(OR(E$38&lt;1000,E$17&lt;=0),"",E$12/E$17)</f>
        <v>0.85808189718178096</v>
      </c>
      <c r="F45" s="436">
        <f>IF(OR(F$38&lt;1000,F$17&lt;=0),"",F$12/F$17)</f>
        <v>1.0009129814268962</v>
      </c>
      <c r="G45" s="447"/>
      <c r="H45" s="438">
        <f>IF(OR(H$38&lt;1000,H$17&lt;=0),"",H$12/H$17)</f>
        <v>0.82283852485067754</v>
      </c>
      <c r="I45" s="436">
        <f>IF(OR(I$38&lt;1000,I$17&lt;=0),"",I$12/I$17)</f>
        <v>0.89460048919771251</v>
      </c>
      <c r="J45" s="436">
        <f>IF(OR(J$38&lt;1000,J$17&lt;=0),"",J$12/J$17)</f>
        <v>0.97668466265027332</v>
      </c>
      <c r="K45" s="436">
        <f>IF(OR(K$38&lt;1000,K$17&lt;=0),"",K$12/K$17)</f>
        <v>0.88488523672640107</v>
      </c>
      <c r="L45" s="447"/>
      <c r="M45" s="438">
        <f>IF(OR(M$38&lt;1000,M$17&lt;=0),"",M$12/M$17)</f>
        <v>0.90999253039835959</v>
      </c>
      <c r="N45" s="436">
        <f>IF(OR(N$38&lt;1000,N$17&lt;=0),"",N$12/N$17)</f>
        <v>0.92725154486932959</v>
      </c>
      <c r="O45" s="436">
        <f>IF(OR(O$38&lt;1000,O$17&lt;=0),"",O$12/O$17)</f>
        <v>0.90548818268258269</v>
      </c>
      <c r="P45" s="436">
        <f>IF(OR(P$38&lt;1000,P$17&lt;=0),"",P$12/P$17)</f>
        <v>0.91433160935685454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7.2873487866666656E-2</v>
      </c>
      <c r="G47" s="447"/>
      <c r="H47" s="443"/>
      <c r="I47" s="441"/>
      <c r="J47" s="441"/>
      <c r="K47" s="436">
        <f ca="1">IF(K$45="","",K$42)</f>
        <v>2.2642724444444443E-2</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1.0740000000000001</v>
      </c>
      <c r="G48" s="447"/>
      <c r="H48" s="443"/>
      <c r="I48" s="441"/>
      <c r="J48" s="441"/>
      <c r="K48" s="436">
        <f ca="1">IF(K$45="","",ROUND(K$45+MAX(0,K$47),3))</f>
        <v>0.90800000000000003</v>
      </c>
      <c r="L48" s="447"/>
      <c r="M48" s="443"/>
      <c r="N48" s="441"/>
      <c r="O48" s="441"/>
      <c r="P48" s="436">
        <f>IF(P$45="","",ROUND(P$45+MAX(0,P$47),3))</f>
        <v>0.91400000000000003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1.0740000000000001</v>
      </c>
      <c r="G51" s="447"/>
      <c r="H51" s="444"/>
      <c r="I51" s="442"/>
      <c r="J51" s="442"/>
      <c r="K51" s="436">
        <f ca="1">K$48</f>
        <v>0.90800000000000003</v>
      </c>
      <c r="L51" s="447"/>
      <c r="M51" s="444"/>
      <c r="N51" s="442"/>
      <c r="O51" s="442"/>
      <c r="P51" s="436">
        <f>P$48</f>
        <v>0.91400000000000003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4003679.2620648961</v>
      </c>
      <c r="G52" s="447"/>
      <c r="H52" s="443"/>
      <c r="I52" s="441"/>
      <c r="J52" s="441"/>
      <c r="K52" s="400">
        <f>IF(K$38&lt;1000,"",MAX(0,J$15-J$16))</f>
        <v>17318721.947334234</v>
      </c>
      <c r="L52" s="447"/>
      <c r="M52" s="443"/>
      <c r="N52" s="441"/>
      <c r="O52" s="441"/>
      <c r="P52" s="400">
        <f>IF(P$38&lt;1000,"",MAX(0,O$15-O$16))</f>
        <v>143363330.71617398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-145585</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8055543</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7909958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62" yWindow="59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695</v>
      </c>
      <c r="D4" s="104">
        <f>'Pt 1 Summary of Data'!$K$56+'Pt 1 Summary of Data'!$M$56-'Pt 1 Summary of Data'!$N$56</f>
        <v>3137</v>
      </c>
      <c r="E4" s="104">
        <f>'Pt 1 Summary of Data'!$Q$56+'Pt 1 Summary of Data'!$S$56-'Pt 1 Summary of Data'!$T$56</f>
        <v>12408</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2016-09-06T19:44:28Z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