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O45" i="10"/>
  <c r="N45" i="10"/>
  <c r="M45" i="10"/>
  <c r="AB42" i="10"/>
  <c r="X42" i="10"/>
  <c r="T42" i="10"/>
  <c r="AB41" i="10"/>
  <c r="X41" i="10"/>
  <c r="T41" i="10"/>
  <c r="P41" i="10"/>
  <c r="K41" i="10"/>
  <c r="F41" i="10"/>
  <c r="X39"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P17" i="10"/>
  <c r="O17" i="10"/>
  <c r="N17" i="10"/>
  <c r="M17" i="10"/>
  <c r="AB16" i="10"/>
  <c r="AA16" i="10"/>
  <c r="X16" i="10"/>
  <c r="W16" i="10"/>
  <c r="T16" i="10"/>
  <c r="S16" i="10"/>
  <c r="R13" i="10" s="1"/>
  <c r="P16" i="10"/>
  <c r="O16" i="10"/>
  <c r="L16" i="10"/>
  <c r="K16" i="10"/>
  <c r="J16" i="10"/>
  <c r="G16" i="10"/>
  <c r="F16" i="10"/>
  <c r="E16" i="10"/>
  <c r="AB15" i="10"/>
  <c r="AA15" i="10"/>
  <c r="X15" i="10"/>
  <c r="W15" i="10"/>
  <c r="V13" i="10" s="1"/>
  <c r="T15" i="10"/>
  <c r="S15" i="10"/>
  <c r="P15" i="10"/>
  <c r="O15" i="10"/>
  <c r="L15" i="10"/>
  <c r="AA13" i="10"/>
  <c r="Z13" i="10"/>
  <c r="Y13" i="10"/>
  <c r="W13" i="10"/>
  <c r="S13" i="10"/>
  <c r="P12" i="10"/>
  <c r="P45" i="10" s="1"/>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Z22" i="4" s="1"/>
  <c r="Y55" i="18"/>
  <c r="Y22" i="4" s="1"/>
  <c r="X55" i="18"/>
  <c r="X22" i="4" s="1"/>
  <c r="W55" i="18"/>
  <c r="W22" i="4" s="1"/>
  <c r="V55" i="18"/>
  <c r="V22" i="4" s="1"/>
  <c r="U55" i="18"/>
  <c r="U22" i="4" s="1"/>
  <c r="T55" i="18"/>
  <c r="T22" i="4" s="1"/>
  <c r="S55" i="18"/>
  <c r="S22" i="4" s="1"/>
  <c r="R55" i="18"/>
  <c r="R22" i="4" s="1"/>
  <c r="Q55" i="18"/>
  <c r="Q22" i="4" s="1"/>
  <c r="P55" i="18"/>
  <c r="P22" i="4" s="1"/>
  <c r="O55" i="18"/>
  <c r="O22" i="4" s="1"/>
  <c r="N55" i="18"/>
  <c r="N22" i="4" s="1"/>
  <c r="M55" i="18"/>
  <c r="M22" i="4" s="1"/>
  <c r="L55" i="18"/>
  <c r="L22" i="4" s="1"/>
  <c r="K55" i="18"/>
  <c r="K22" i="4" s="1"/>
  <c r="J55" i="18"/>
  <c r="J22" i="4" s="1"/>
  <c r="I55" i="18"/>
  <c r="I22" i="4" s="1"/>
  <c r="H55" i="18"/>
  <c r="H22" i="4" s="1"/>
  <c r="G55" i="18"/>
  <c r="G22" i="4" s="1"/>
  <c r="F55" i="18"/>
  <c r="F22" i="4" s="1"/>
  <c r="E55" i="18"/>
  <c r="E22" i="4" s="1"/>
  <c r="D55" i="18"/>
  <c r="AU54" i="18"/>
  <c r="AU12" i="4" s="1"/>
  <c r="AT54" i="18"/>
  <c r="AT12" i="4" s="1"/>
  <c r="AS54" i="18"/>
  <c r="AC54" i="18"/>
  <c r="AC12" i="4" s="1"/>
  <c r="AB54" i="18"/>
  <c r="AB12" i="4" s="1"/>
  <c r="AA54" i="18"/>
  <c r="AA12" i="4" s="1"/>
  <c r="Z54" i="18"/>
  <c r="Y54" i="18"/>
  <c r="Y12" i="4" s="1"/>
  <c r="X54" i="18"/>
  <c r="X12" i="4" s="1"/>
  <c r="W54" i="18"/>
  <c r="W12" i="4" s="1"/>
  <c r="V54" i="18"/>
  <c r="V12" i="4" s="1"/>
  <c r="U54" i="18"/>
  <c r="U12" i="4" s="1"/>
  <c r="T54" i="18"/>
  <c r="T12" i="4" s="1"/>
  <c r="S54" i="18"/>
  <c r="S12" i="4" s="1"/>
  <c r="R54" i="18"/>
  <c r="R12" i="4" s="1"/>
  <c r="Q54" i="18"/>
  <c r="P54" i="18"/>
  <c r="O54" i="18"/>
  <c r="O12" i="4" s="1"/>
  <c r="N54" i="18"/>
  <c r="N12" i="4" s="1"/>
  <c r="M54" i="18"/>
  <c r="M12" i="4" s="1"/>
  <c r="L54" i="18"/>
  <c r="L12" i="4" s="1"/>
  <c r="K54" i="18"/>
  <c r="K12" i="4" s="1"/>
  <c r="J54" i="18"/>
  <c r="J12" i="4" s="1"/>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D22" i="4"/>
  <c r="AS12" i="4"/>
  <c r="Z12" i="4"/>
  <c r="Q12" i="4"/>
  <c r="P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J7" i="10" l="1"/>
  <c r="E7" i="10"/>
  <c r="J15" i="10"/>
  <c r="F7" i="10"/>
  <c r="K7" i="10"/>
  <c r="G7" i="10"/>
  <c r="G32" i="10" s="1"/>
  <c r="E15" i="10"/>
  <c r="L29" i="10"/>
  <c r="L33" i="10" s="1"/>
  <c r="L34" i="10" s="1"/>
  <c r="AB39" i="10"/>
  <c r="T39" i="10"/>
  <c r="P39" i="10"/>
  <c r="P42" i="10" s="1"/>
  <c r="P47" i="10" s="1"/>
  <c r="P48" i="10" s="1"/>
  <c r="P51" i="10" s="1"/>
  <c r="P53" i="10" s="1"/>
  <c r="E11" i="16" s="1"/>
  <c r="L21" i="10"/>
  <c r="L26" i="10" s="1"/>
  <c r="L25" i="10" s="1"/>
  <c r="L28" i="10" s="1"/>
  <c r="AB13" i="10"/>
  <c r="X13" i="10"/>
  <c r="T13" i="10"/>
  <c r="Q13" i="10"/>
  <c r="U13" i="10"/>
  <c r="K15" i="10" l="1"/>
  <c r="J17" i="10" s="1"/>
  <c r="G24" i="10"/>
  <c r="G19" i="10"/>
  <c r="G22" i="10" s="1"/>
  <c r="G20" i="10"/>
  <c r="G27" i="10"/>
  <c r="I12" i="10"/>
  <c r="G23" i="10"/>
  <c r="F15" i="10"/>
  <c r="D17" i="10" s="1"/>
  <c r="D45" i="10" s="1"/>
  <c r="E17" i="10"/>
  <c r="C12" i="10" l="1"/>
  <c r="H12" i="10"/>
  <c r="K17" i="10"/>
  <c r="J38" i="10"/>
  <c r="J12" i="10"/>
  <c r="H17" i="10"/>
  <c r="H45" i="10" s="1"/>
  <c r="I17" i="10"/>
  <c r="I45" i="10" s="1"/>
  <c r="F17" i="10"/>
  <c r="E38" i="10"/>
  <c r="E12" i="10"/>
  <c r="C17" i="10"/>
  <c r="D12" i="10"/>
  <c r="G21" i="10"/>
  <c r="G26" i="10" s="1"/>
  <c r="G25" i="10" s="1"/>
  <c r="G28" i="10" s="1"/>
  <c r="G30" i="10"/>
  <c r="G31" i="10" s="1"/>
  <c r="G29" i="10" s="1"/>
  <c r="G33" i="10" s="1"/>
  <c r="G34" i="10" s="1"/>
  <c r="K38" i="10" l="1"/>
  <c r="J45" i="10"/>
  <c r="K12" i="10"/>
  <c r="C45" i="10"/>
  <c r="F12" i="10"/>
  <c r="F38" i="10"/>
  <c r="E45" i="10"/>
  <c r="K45" i="10" l="1"/>
  <c r="K52" i="10"/>
  <c r="K39" i="10"/>
  <c r="K42" i="10" s="1"/>
  <c r="K47" i="10" s="1"/>
  <c r="K48" i="10" s="1"/>
  <c r="K51" i="10" s="1"/>
  <c r="K53" i="10" s="1"/>
  <c r="D11" i="16" s="1"/>
  <c r="F53" i="10"/>
  <c r="C11" i="16" s="1"/>
  <c r="F42" i="10"/>
  <c r="F39" i="10"/>
  <c r="F52" i="10"/>
  <c r="F45" i="10"/>
  <c r="F48" i="10" l="1"/>
  <c r="F51" i="10" s="1"/>
  <c r="F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<sst xmlns="http://schemas.openxmlformats.org/spreadsheetml/2006/main" count="570" uniqueCount="508">
  <si>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</si>
  <si>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</si>
  <si>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</si>
  <si>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</si>
  <si>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</si>
  <si>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</si>
  <si>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</si>
  <si>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</si>
  <si>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</si>
  <si>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</si>
  <si>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</si>
  <si>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</si>
  <si>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</si>
  <si>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</si>
  <si>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</si>
  <si>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</si>
  <si>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</si>
  <si>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</si>
  <si>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</si>
  <si>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</si>
  <si>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</si>
  <si>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</si>
  <si>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</si>
  <si>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</si>
  <si>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</si>
  <si>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</si>
  <si>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</si>
  <si>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</si>
  <si>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</si>
  <si>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</si>
  <si>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</si>
  <si>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</si>
  <si>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</si>
  <si>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</si>
  <si>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</si>
  <si>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</si>
  <si>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</si>
  <si>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</si>
  <si>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</si>
  <si>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</si>
  <si>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</si>
  <si>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</si>
  <si>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</si>
  <si>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</si>
  <si>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</si>
  <si>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</si>
  <si>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</si>
  <si>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</si>
  <si>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</si>
  <si>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</si>
  <si>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</si>
  <si>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</si>
  <si>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</si>
  <si>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</si>
  <si>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</si>
  <si>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</si>
  <si>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</si>
  <si>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</si>
  <si>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</si>
  <si>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</si>
  <si>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</si>
  <si>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</si>
  <si>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</si>
  <si>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</si>
  <si>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</si>
  <si>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</si>
  <si>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</si>
  <si>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</si>
  <si>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</si>
  <si>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</si>
  <si>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</si>
  <si>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</si>
  <si>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</si>
  <si>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</si>
  <si>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</si>
  <si>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</si>
  <si>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</si>
  <si>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</si>
  <si>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</si>
  <si>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</si>
  <si>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</si>
  <si>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</si>
  <si>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</si>
  <si>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</si>
  <si>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</si>
  <si>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</si>
  <si>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</si>
  <si>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</si>
  <si>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</si>
  <si>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</si>
  <si>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</si>
  <si>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</si>
  <si>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</si>
  <si>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</si>
  <si>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</si>
  <si>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</si>
  <si>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</si>
  <si>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</si>
  <si>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</si>
  <si>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</si>
  <si>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</si>
  <si>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</si>
  <si>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</si>
  <si>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</si>
  <si>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</si>
  <si>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</si>
  <si>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</si>
  <si>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</si>
  <si>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</si>
  <si>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</si>
  <si>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</si>
  <si>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</si>
  <si>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</si>
  <si>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</si>
  <si>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</si>
  <si>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</si>
  <si>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</si>
  <si>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</si>
  <si>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</si>
  <si>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</si>
  <si>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</si>
  <si>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</si>
  <si>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</si>
  <si>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</si>
  <si>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</si>
  <si>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</si>
  <si>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</si>
  <si>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</si>
  <si>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</si>
  <si>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</si>
  <si>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</si>
  <si>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</si>
  <si>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</si>
  <si>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</si>
  <si>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</si>
  <si>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</si>
  <si>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</si>
  <si>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</si>
  <si>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</si>
  <si>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</si>
  <si>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</si>
  <si>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</si>
  <si>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</si>
  <si>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</si>
  <si>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</si>
  <si>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</si>
  <si>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</si>
  <si>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</si>
  <si>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</si>
  <si>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</si>
  <si>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</si>
  <si>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</si>
  <si>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</si>
  <si>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</si>
  <si>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</si>
  <si>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</si>
  <si>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</si>
  <si>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</si>
  <si>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</si>
  <si>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</si>
  <si>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</si>
  <si>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</si>
  <si>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</si>
  <si>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</si>
  <si>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</si>
  <si>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</si>
  <si>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</si>
  <si>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</si>
  <si>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</si>
  <si>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</si>
  <si>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</si>
  <si>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</si>
  <si>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</si>
  <si>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</si>
  <si>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</si>
  <si>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</si>
  <si>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</si>
  <si>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</si>
  <si>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</si>
  <si>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</si>
  <si>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</si>
  <si>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</si>
  <si>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</si>
  <si>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</si>
  <si>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</si>
  <si>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</si>
  <si>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</si>
  <si>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</si>
  <si>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</si>
  <si>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</si>
  <si>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</si>
  <si>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</si>
  <si>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</si>
  <si>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</si>
  <si>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</si>
  <si>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</si>
  <si>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</si>
  <si>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</si>
  <si>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</si>
  <si>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</si>
  <si>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</si>
  <si>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</si>
  <si>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</si>
  <si>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</si>
  <si>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</si>
  <si>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</si>
  <si>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</si>
  <si>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</si>
  <si>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</si>
  <si>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</si>
  <si>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</si>
  <si>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</si>
  <si>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</si>
  <si>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</si>
  <si>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</si>
  <si>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</si>
  <si>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</si>
  <si>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</si>
  <si>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</si>
  <si>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</si>
  <si>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</si>
  <si>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</si>
  <si>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</si>
  <si>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</si>
  <si>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</si>
  <si>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</si>
  <si>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</si>
  <si>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</si>
  <si>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</si>
  <si>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</si>
  <si>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</si>
  <si>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</si>
  <si>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</si>
  <si>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</si>
  <si>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</si>
  <si>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</si>
  <si>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</si>
  <si>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</si>
  <si>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</si>
  <si>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</si>
  <si>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</si>
  <si>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</si>
  <si>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</si>
  <si>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</si>
  <si>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</si>
  <si>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</si>
  <si>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</si>
  <si>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</si>
  <si>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</si>
  <si>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</si>
  <si>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</si>
  <si>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</si>
  <si>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</si>
  <si>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</si>
  <si>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</si>
  <si>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</si>
  <si>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</si>
  <si>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</si>
  <si>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</si>
  <si>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</si>
  <si>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</si>
  <si>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</si>
  <si>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</si>
  <si>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</si>
  <si>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</si>
  <si>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</si>
  <si>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</si>
  <si>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</si>
  <si>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</si>
  <si>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</si>
  <si>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</si>
  <si>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</si>
  <si>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</si>
  <si>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</si>
  <si>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</si>
  <si>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</si>
  <si>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</si>
  <si>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</si>
  <si>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</si>
  <si>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</si>
  <si>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</si>
  <si>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</si>
  <si>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</si>
  <si>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</si>
  <si>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</si>
  <si>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</si>
  <si>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</si>
  <si>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</si>
  <si>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</si>
  <si>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</si>
  <si>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</si>
  <si>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</si>
  <si>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</si>
  <si>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</si>
  <si>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</si>
  <si>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</si>
  <si>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</si>
  <si>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</si>
  <si>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</si>
  <si>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</si>
  <si>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</si>
  <si>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</si>
  <si>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</si>
  <si>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</si>
  <si>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</si>
  <si>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</si>
  <si>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</si>
  <si>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</si>
  <si>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</si>
  <si>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</si>
  <si>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</si>
  <si>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</si>
  <si>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</si>
  <si>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</si>
  <si>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</si>
  <si>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</si>
  <si>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</si>
  <si>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</si>
  <si>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</si>
  <si>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</si>
  <si>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</si>
  <si>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</si>
  <si>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</si>
  <si>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</si>
  <si>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</si>
  <si>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</si>
  <si>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</si>
  <si>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</si>
  <si>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</si>
  <si>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</si>
  <si>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</si>
  <si>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</si>
  <si>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</si>
  <si>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</si>
  <si>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</si>
  <si>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</si>
  <si>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</si>
  <si>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</si>
  <si>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</si>
  <si>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</si>
  <si>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</si>
  <si>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</si>
  <si>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</si>
  <si>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</si>
  <si>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</si>
  <si>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</si>
  <si>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</si>
  <si>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</si>
  <si>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</si>
  <si>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</si>
  <si>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</si>
  <si>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</si>
  <si>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</si>
  <si>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</si>
  <si>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</si>
  <si>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</si>
  <si>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</si>
  <si>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</si>
  <si>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</si>
  <si>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</si>
  <si>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</si>
  <si>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</si>
  <si>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</si>
  <si>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</si>
  <si>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</si>
  <si>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</si>
  <si>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</si>
  <si>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</si>
  <si>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</si>
  <si>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</si>
  <si>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</si>
  <si>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</si>
  <si>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</si>
  <si>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</si>
  <si>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</si>
  <si>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</si>
  <si>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</si>
  <si>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</si>
  <si>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</si>
  <si>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</si>
  <si>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</si>
  <si>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</si>
  <si>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</si>
  <si>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</si>
  <si>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</si>
  <si>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</si>
  <si>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</si>
  <si>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</si>
  <si>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</si>
  <si>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</si>
  <si>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</si>
  <si>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</si>
  <si>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</si>
  <si>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</si>
  <si>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</si>
  <si>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</si>
  <si>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</si>
  <si>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</si>
  <si>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</si>
  <si>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</si>
  <si>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</si>
  <si>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</si>
  <si>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</si>
  <si>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</si>
  <si>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</si>
  <si>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</si>
  <si>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</si>
  <si>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</si>
  <si>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</si>
  <si>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</si>
  <si>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</si>
  <si>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</si>
  <si>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</si>
  <si>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</si>
  <si>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</si>
  <si>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</si>
  <si>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</si>
  <si>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</si>
  <si>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</si>
  <si>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</si>
  <si>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</si>
  <si>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</si>
  <si>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</si>
  <si>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</si>
  <si>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</si>
  <si>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</si>
  <si>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</si>
  <si>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</si>
  <si>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</si>
  <si>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</si>
  <si>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</si>
  <si>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</si>
  <si>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</si>
  <si>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</si>
  <si>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</si>
  <si>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</si>
  <si>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</si>
  <si>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</si>
  <si>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</si>
  <si>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</si>
  <si>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</si>
  <si>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</si>
  <si>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</si>
  <si>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</si>
  <si>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</si>
  <si>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</si>
  <si>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</si>
  <si>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</si>
  <si>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</si>
  <si>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</si>
  <si>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</si>
  <si>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</si>
  <si>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</si>
  <si>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</si>
  <si>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</si>
  <si>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</si>
  <si>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</si>
  <si>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</si>
  <si>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</si>
  <si>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</si>
  <si>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</si>
  <si>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</si>
  <si>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</si>
  <si>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</si>
  <si>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</si>
  <si>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</si>
  <si>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</si>
  <si>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</si>
  <si>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</si>
  <si>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</si>
  <si>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</si>
  <si>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</si>
  <si>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</si>
  <si>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</si>
  <si>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</si>
  <si>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</si>
  <si>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</si>
  <si>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</si>
  <si>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</si>
  <si>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</si>
  <si>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</si>
  <si>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</si>
  <si>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</si>
  <si>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</si>
  <si>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</si>
  <si>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</si>
  <si>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</si>
  <si>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</si>
  <si>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</si>
  <si>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</si>
  <si>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</si>
  <si>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</si>
  <si>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</si>
  <si>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</si>
  <si>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</si>
  <si>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</si>
  <si>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Health Plan, Inc.</t>
  </si>
  <si>
    <t>HUMANA GRP</t>
  </si>
  <si>
    <t>Humana</t>
  </si>
  <si>
    <t>119</t>
  </si>
  <si>
    <t>2015</t>
  </si>
  <si>
    <t>321 West Main Street, 12th Floor Louisville, KY 40202</t>
  </si>
  <si>
    <t>611013183</t>
  </si>
  <si>
    <t>095885</t>
  </si>
  <si>
    <t>95885</t>
  </si>
  <si>
    <t>43442</t>
  </si>
  <si>
    <t>215</t>
  </si>
  <si>
    <t>Humana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</si>
</sst>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155</v>
      </c>
    </row>
    <row r="13" spans="1:6" x14ac:dyDescent="0.2">
      <c r="B13" s="147" t="s">
        <v>50</v>
      </c>
      <c r="C13" s="480" t="s">
        <v>157</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1503802</v>
      </c>
      <c r="K5" s="213">
        <f>SUM('Pt 2 Premium and Claims'!K$5,'Pt 2 Premium and Claims'!K$6,-'Pt 2 Premium and Claims'!K$7,-'Pt 2 Premium and Claims'!K$13,'Pt 2 Premium and Claims'!K$14,'Pt 2 Premium and Claims'!K$16:'Pt 2 Premium and Claims'!K$17)</f>
        <v>1707372.8900002001</v>
      </c>
      <c r="L5" s="213">
        <f>SUM('Pt 2 Premium and Claims'!L$5,'Pt 2 Premium and Claims'!L$6,-'Pt 2 Premium and Claims'!L$7,-'Pt 2 Premium and Claims'!L$13,'Pt 2 Premium and Claims'!L$14,'Pt 2 Premium and Claims'!L$16:'Pt 2 Premium and Claims'!L$17)</f>
        <v>271877.95</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22630369</v>
      </c>
      <c r="Q5" s="213">
        <f>SUM('Pt 2 Premium and Claims'!Q$5,'Pt 2 Premium and Claims'!Q$6,-'Pt 2 Premium and Claims'!Q$7,-'Pt 2 Premium and Claims'!Q$13,'Pt 2 Premium and Claims'!Q$14)</f>
        <v>27347978.18</v>
      </c>
      <c r="R5" s="213">
        <f>SUM('Pt 2 Premium and Claims'!R$5,'Pt 2 Premium and Claims'!R$6,-'Pt 2 Premium and Claims'!R$7,-'Pt 2 Premium and Claims'!R$13,'Pt 2 Premium and Claims'!R$14)</f>
        <v>4745701.83</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v>-2881.13</v>
      </c>
      <c r="L7" s="217">
        <v>-2881.13</v>
      </c>
      <c r="M7" s="217"/>
      <c r="N7" s="217"/>
      <c r="O7" s="216"/>
      <c r="P7" s="216">
        <v>0</v>
      </c>
      <c r="Q7" s="217">
        <v>-44682.03</v>
      </c>
      <c r="R7" s="217">
        <v>-44682.03</v>
      </c>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-3070</v>
      </c>
      <c r="K8" s="268"/>
      <c r="L8" s="269"/>
      <c r="M8" s="269"/>
      <c r="N8" s="269"/>
      <c r="O8" s="272"/>
      <c r="P8" s="216">
        <v>-32382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657225</v>
      </c>
      <c r="K12" s="213">
        <f>'Pt 2 Premium and Claims'!K$54</f>
        <v>787570.70914032217</v>
      </c>
      <c r="L12" s="213">
        <f>'Pt 2 Premium and Claims'!L$54</f>
        <v>172440.92801996187</v>
      </c>
      <c r="M12" s="213">
        <f>'Pt 2 Premium and Claims'!M$54</f>
        <v>0</v>
      </c>
      <c r="N12" s="213">
        <f>'Pt 2 Premium and Claims'!N$54</f>
        <v>0</v>
      </c>
      <c r="O12" s="212">
        <f>'Pt 2 Premium and Claims'!O$54</f>
        <v>0</v>
      </c>
      <c r="P12" s="212">
        <f>'Pt 2 Premium and Claims'!P$54</f>
        <v>19252948</v>
      </c>
      <c r="Q12" s="213">
        <f>'Pt 2 Premium and Claims'!Q$54</f>
        <v>24022263.360286083</v>
      </c>
      <c r="R12" s="213">
        <f>'Pt 2 Premium and Claims'!R$54</f>
        <v>5715299.0673345905</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0</v>
      </c>
      <c r="AU12" s="214">
        <f>'Pt 2 Premium and Claims'!AU$54</f>
        <v>0</v>
      </c>
      <c r="AV12" s="291"/>
      <c r="AW12" s="296"/>
    </row>
    <row r="13" spans="1:49" ht="25.5" x14ac:dyDescent="0.2">
      <c r="B13" s="239" t="s">
        <v>230</v>
      </c>
      <c r="C13" s="203" t="s">
        <v>37</v>
      </c>
      <c r="D13" s="216">
        <v>0</v>
      </c>
      <c r="E13" s="217"/>
      <c r="F13" s="217"/>
      <c r="G13" s="268"/>
      <c r="H13" s="269"/>
      <c r="I13" s="216"/>
      <c r="J13" s="216">
        <v>119100</v>
      </c>
      <c r="K13" s="217">
        <v>95152.869999999981</v>
      </c>
      <c r="L13" s="217"/>
      <c r="M13" s="268"/>
      <c r="N13" s="269"/>
      <c r="O13" s="216"/>
      <c r="P13" s="216">
        <v>4885316</v>
      </c>
      <c r="Q13" s="217">
        <v>4911733.9897292452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c r="F14" s="217"/>
      <c r="G14" s="267"/>
      <c r="H14" s="270"/>
      <c r="I14" s="216"/>
      <c r="J14" s="216">
        <v>14807</v>
      </c>
      <c r="K14" s="217">
        <v>12340.25</v>
      </c>
      <c r="L14" s="217"/>
      <c r="M14" s="267"/>
      <c r="N14" s="270"/>
      <c r="O14" s="216"/>
      <c r="P14" s="216">
        <v>582029</v>
      </c>
      <c r="Q14" s="217">
        <v>604456.71655059268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5</v>
      </c>
      <c r="K15" s="217">
        <v>5.75</v>
      </c>
      <c r="L15" s="217">
        <v>0.34</v>
      </c>
      <c r="M15" s="267"/>
      <c r="N15" s="273"/>
      <c r="O15" s="216"/>
      <c r="P15" s="216">
        <v>72</v>
      </c>
      <c r="Q15" s="217">
        <v>77.069999999999993</v>
      </c>
      <c r="R15" s="217">
        <v>5.33</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-68139</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66083</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-2057</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208</v>
      </c>
      <c r="K22" s="222">
        <f>'Pt 2 Premium and Claims'!K$55</f>
        <v>435.73</v>
      </c>
      <c r="L22" s="222">
        <f>'Pt 2 Premium and Claims'!L$55</f>
        <v>227.96</v>
      </c>
      <c r="M22" s="222">
        <f>'Pt 2 Premium and Claims'!M$55</f>
        <v>0</v>
      </c>
      <c r="N22" s="222">
        <f>'Pt 2 Premium and Claims'!N$55</f>
        <v>0</v>
      </c>
      <c r="O22" s="221">
        <f>'Pt 2 Premium and Claims'!O$55</f>
        <v>0</v>
      </c>
      <c r="P22" s="221">
        <f>'Pt 2 Premium and Claims'!P$55</f>
        <v>35121.550000000003</v>
      </c>
      <c r="Q22" s="222">
        <f>'Pt 2 Premium and Claims'!Q$55</f>
        <v>42330.48</v>
      </c>
      <c r="R22" s="222">
        <f>'Pt 2 Premium and Claims'!R$55</f>
        <v>5714.47</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229041.74</v>
      </c>
      <c r="K25" s="217">
        <v>219633.95407348816</v>
      </c>
      <c r="L25" s="217">
        <v>124056.32570218838</v>
      </c>
      <c r="M25" s="217"/>
      <c r="N25" s="217"/>
      <c r="O25" s="216"/>
      <c r="P25" s="216">
        <v>36733.839999999997</v>
      </c>
      <c r="Q25" s="217">
        <v>-205871.81254104915</v>
      </c>
      <c r="R25" s="217">
        <v>-376067.86758402939</v>
      </c>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922.54</v>
      </c>
      <c r="K26" s="217">
        <v>1067.57</v>
      </c>
      <c r="L26" s="217">
        <v>145.03</v>
      </c>
      <c r="M26" s="217"/>
      <c r="N26" s="217"/>
      <c r="O26" s="216"/>
      <c r="P26" s="216">
        <v>10567.6</v>
      </c>
      <c r="Q26" s="217">
        <v>12584.86</v>
      </c>
      <c r="R26" s="217">
        <v>2017.26</v>
      </c>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28266.68</v>
      </c>
      <c r="K27" s="217">
        <v>33348.69</v>
      </c>
      <c r="L27" s="217">
        <v>5082.01</v>
      </c>
      <c r="M27" s="217"/>
      <c r="N27" s="217"/>
      <c r="O27" s="216"/>
      <c r="P27" s="216">
        <v>374591.13</v>
      </c>
      <c r="Q27" s="217">
        <v>453405.49</v>
      </c>
      <c r="R27" s="217">
        <v>78814.36</v>
      </c>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v>3019.21</v>
      </c>
      <c r="K28" s="217">
        <v>3537.44</v>
      </c>
      <c r="L28" s="217">
        <v>518.23</v>
      </c>
      <c r="M28" s="217"/>
      <c r="N28" s="217"/>
      <c r="O28" s="216"/>
      <c r="P28" s="216">
        <v>43859.97</v>
      </c>
      <c r="Q28" s="217">
        <v>53053.43</v>
      </c>
      <c r="R28" s="217">
        <v>9193.4599999999991</v>
      </c>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21284.21</v>
      </c>
      <c r="K30" s="217">
        <v>19210.765049031063</v>
      </c>
      <c r="L30" s="217">
        <v>9767.8395291693705</v>
      </c>
      <c r="M30" s="217"/>
      <c r="N30" s="217"/>
      <c r="O30" s="216"/>
      <c r="P30" s="216">
        <v>16778.75</v>
      </c>
      <c r="Q30" s="217">
        <v>264.50479582120829</v>
      </c>
      <c r="R30" s="217">
        <v>-28355.361414279727</v>
      </c>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v>4523.87</v>
      </c>
      <c r="L31" s="217">
        <v>4523.87</v>
      </c>
      <c r="M31" s="217"/>
      <c r="N31" s="217"/>
      <c r="O31" s="216"/>
      <c r="P31" s="216"/>
      <c r="Q31" s="217">
        <v>69828.55</v>
      </c>
      <c r="R31" s="217">
        <v>69828.55</v>
      </c>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19639.63</v>
      </c>
      <c r="K34" s="217">
        <v>19639.63</v>
      </c>
      <c r="L34" s="217"/>
      <c r="M34" s="217"/>
      <c r="N34" s="217"/>
      <c r="O34" s="216"/>
      <c r="P34" s="216">
        <v>251969.73</v>
      </c>
      <c r="Q34" s="217">
        <v>251969.73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973.41</v>
      </c>
      <c r="K35" s="217">
        <v>1131.22</v>
      </c>
      <c r="L35" s="217">
        <v>157.81</v>
      </c>
      <c r="M35" s="217"/>
      <c r="N35" s="217"/>
      <c r="O35" s="216"/>
      <c r="P35" s="216">
        <v>13306.52</v>
      </c>
      <c r="Q35" s="217">
        <v>16105.87</v>
      </c>
      <c r="R35" s="217">
        <v>2799.35</v>
      </c>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3668</v>
      </c>
      <c r="K37" s="225">
        <v>3892.74</v>
      </c>
      <c r="L37" s="225">
        <v>225.21</v>
      </c>
      <c r="M37" s="225"/>
      <c r="N37" s="225"/>
      <c r="O37" s="224"/>
      <c r="P37" s="224">
        <v>71889</v>
      </c>
      <c r="Q37" s="225">
        <v>90671.56</v>
      </c>
      <c r="R37" s="225">
        <v>18782.07</v>
      </c>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48109</v>
      </c>
      <c r="AW37" s="296"/>
    </row>
    <row r="38" spans="1:49" x14ac:dyDescent="0.2">
      <c r="B38" s="239" t="s">
        <v>254</v>
      </c>
      <c r="C38" s="203" t="s">
        <v>16</v>
      </c>
      <c r="D38" s="216">
        <v>0</v>
      </c>
      <c r="E38" s="217"/>
      <c r="F38" s="217"/>
      <c r="G38" s="217"/>
      <c r="H38" s="217"/>
      <c r="I38" s="216"/>
      <c r="J38" s="216">
        <v>846</v>
      </c>
      <c r="K38" s="217">
        <v>828.95</v>
      </c>
      <c r="L38" s="217">
        <v>-17.29</v>
      </c>
      <c r="M38" s="217"/>
      <c r="N38" s="217"/>
      <c r="O38" s="216"/>
      <c r="P38" s="216">
        <v>25953</v>
      </c>
      <c r="Q38" s="217">
        <v>42623.15</v>
      </c>
      <c r="R38" s="217">
        <v>16670.28</v>
      </c>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16170</v>
      </c>
      <c r="AW38" s="297"/>
    </row>
    <row r="39" spans="1:49" x14ac:dyDescent="0.2">
      <c r="B39" s="242" t="s">
        <v>255</v>
      </c>
      <c r="C39" s="203" t="s">
        <v>17</v>
      </c>
      <c r="D39" s="216">
        <v>0</v>
      </c>
      <c r="E39" s="217"/>
      <c r="F39" s="217"/>
      <c r="G39" s="217"/>
      <c r="H39" s="217"/>
      <c r="I39" s="216"/>
      <c r="J39" s="216">
        <v>1901</v>
      </c>
      <c r="K39" s="217">
        <v>1957.77</v>
      </c>
      <c r="L39" s="217">
        <v>57.27</v>
      </c>
      <c r="M39" s="217"/>
      <c r="N39" s="217"/>
      <c r="O39" s="216"/>
      <c r="P39" s="216">
        <v>29342</v>
      </c>
      <c r="Q39" s="217">
        <v>32916.370000000003</v>
      </c>
      <c r="R39" s="217">
        <v>3574.84</v>
      </c>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11780</v>
      </c>
      <c r="AW39" s="297"/>
    </row>
    <row r="40" spans="1:49" x14ac:dyDescent="0.2">
      <c r="B40" s="242" t="s">
        <v>256</v>
      </c>
      <c r="C40" s="203" t="s">
        <v>38</v>
      </c>
      <c r="D40" s="216">
        <v>0</v>
      </c>
      <c r="E40" s="217"/>
      <c r="F40" s="217"/>
      <c r="G40" s="217"/>
      <c r="H40" s="217"/>
      <c r="I40" s="216"/>
      <c r="J40" s="216">
        <v>18856</v>
      </c>
      <c r="K40" s="217">
        <v>19337.59</v>
      </c>
      <c r="L40" s="217">
        <v>481.11</v>
      </c>
      <c r="M40" s="217"/>
      <c r="N40" s="217"/>
      <c r="O40" s="216"/>
      <c r="P40" s="216">
        <v>285869</v>
      </c>
      <c r="Q40" s="217">
        <v>304715.90000000002</v>
      </c>
      <c r="R40" s="217">
        <v>18846.759999999998</v>
      </c>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v>0</v>
      </c>
      <c r="AV40" s="220">
        <v>34852</v>
      </c>
      <c r="AW40" s="297"/>
    </row>
    <row r="41" spans="1:49" s="5" customFormat="1" ht="25.5" x14ac:dyDescent="0.2">
      <c r="A41" s="35"/>
      <c r="B41" s="242" t="s">
        <v>257</v>
      </c>
      <c r="C41" s="203" t="s">
        <v>129</v>
      </c>
      <c r="D41" s="216">
        <v>0</v>
      </c>
      <c r="E41" s="217"/>
      <c r="F41" s="217"/>
      <c r="G41" s="217"/>
      <c r="H41" s="217"/>
      <c r="I41" s="216"/>
      <c r="J41" s="216">
        <v>2344</v>
      </c>
      <c r="K41" s="217">
        <v>2724.84</v>
      </c>
      <c r="L41" s="217">
        <v>380.72</v>
      </c>
      <c r="M41" s="217"/>
      <c r="N41" s="217"/>
      <c r="O41" s="216"/>
      <c r="P41" s="216">
        <v>30177</v>
      </c>
      <c r="Q41" s="217">
        <v>36318.559999999998</v>
      </c>
      <c r="R41" s="217">
        <v>6141.54</v>
      </c>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0</v>
      </c>
      <c r="AV41" s="220">
        <v>15174</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17309</v>
      </c>
      <c r="K44" s="225">
        <v>19071.41</v>
      </c>
      <c r="L44" s="225">
        <v>1762.4</v>
      </c>
      <c r="M44" s="225"/>
      <c r="N44" s="225"/>
      <c r="O44" s="224"/>
      <c r="P44" s="224">
        <v>257664</v>
      </c>
      <c r="Q44" s="225">
        <v>291655.84000000003</v>
      </c>
      <c r="R44" s="225">
        <v>33992.06</v>
      </c>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0</v>
      </c>
      <c r="AU44" s="226">
        <v>0</v>
      </c>
      <c r="AV44" s="226">
        <v>89702</v>
      </c>
      <c r="AW44" s="296"/>
    </row>
    <row r="45" spans="1:49" x14ac:dyDescent="0.2">
      <c r="B45" s="245" t="s">
        <v>261</v>
      </c>
      <c r="C45" s="203" t="s">
        <v>19</v>
      </c>
      <c r="D45" s="216">
        <v>0</v>
      </c>
      <c r="E45" s="217"/>
      <c r="F45" s="217"/>
      <c r="G45" s="217"/>
      <c r="H45" s="217"/>
      <c r="I45" s="216"/>
      <c r="J45" s="216">
        <v>11356</v>
      </c>
      <c r="K45" s="217">
        <v>12658.92</v>
      </c>
      <c r="L45" s="217">
        <v>1302.52</v>
      </c>
      <c r="M45" s="217"/>
      <c r="N45" s="217"/>
      <c r="O45" s="216"/>
      <c r="P45" s="216">
        <v>169247</v>
      </c>
      <c r="Q45" s="217">
        <v>194004.82</v>
      </c>
      <c r="R45" s="217">
        <v>24757.99</v>
      </c>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0</v>
      </c>
      <c r="AU45" s="220">
        <v>0</v>
      </c>
      <c r="AV45" s="220">
        <v>72135</v>
      </c>
      <c r="AW45" s="297"/>
    </row>
    <row r="46" spans="1:49" x14ac:dyDescent="0.2">
      <c r="B46" s="245" t="s">
        <v>262</v>
      </c>
      <c r="C46" s="203" t="s">
        <v>20</v>
      </c>
      <c r="D46" s="216">
        <v>0</v>
      </c>
      <c r="E46" s="217"/>
      <c r="F46" s="217"/>
      <c r="G46" s="217"/>
      <c r="H46" s="217"/>
      <c r="I46" s="216"/>
      <c r="J46" s="216">
        <v>6746</v>
      </c>
      <c r="K46" s="217">
        <v>7876.38</v>
      </c>
      <c r="L46" s="217">
        <v>1130.1600000000001</v>
      </c>
      <c r="M46" s="217"/>
      <c r="N46" s="217"/>
      <c r="O46" s="216"/>
      <c r="P46" s="216">
        <v>92176</v>
      </c>
      <c r="Q46" s="217">
        <v>110810.25</v>
      </c>
      <c r="R46" s="217">
        <v>18634.349999999999</v>
      </c>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0</v>
      </c>
      <c r="AV46" s="220">
        <v>29181</v>
      </c>
      <c r="AW46" s="297"/>
    </row>
    <row r="47" spans="1:49" x14ac:dyDescent="0.2">
      <c r="B47" s="245" t="s">
        <v>263</v>
      </c>
      <c r="C47" s="203" t="s">
        <v>21</v>
      </c>
      <c r="D47" s="216">
        <v>0</v>
      </c>
      <c r="E47" s="217"/>
      <c r="F47" s="217"/>
      <c r="G47" s="217"/>
      <c r="H47" s="217"/>
      <c r="I47" s="216"/>
      <c r="J47" s="216">
        <v>52400</v>
      </c>
      <c r="K47" s="217">
        <v>52593.29</v>
      </c>
      <c r="L47" s="217">
        <v>192.84</v>
      </c>
      <c r="M47" s="217"/>
      <c r="N47" s="217"/>
      <c r="O47" s="216"/>
      <c r="P47" s="216">
        <v>582000</v>
      </c>
      <c r="Q47" s="217">
        <v>585420.12</v>
      </c>
      <c r="R47" s="217">
        <v>3420.53</v>
      </c>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0</v>
      </c>
      <c r="AU47" s="220">
        <v>0</v>
      </c>
      <c r="AV47" s="220">
        <v>102867</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132185.35999999999</v>
      </c>
      <c r="K49" s="217">
        <v>136042.87</v>
      </c>
      <c r="L49" s="217">
        <v>3857.51</v>
      </c>
      <c r="M49" s="217"/>
      <c r="N49" s="217"/>
      <c r="O49" s="216"/>
      <c r="P49" s="216">
        <v>23573.919999999998</v>
      </c>
      <c r="Q49" s="217">
        <v>12550.16</v>
      </c>
      <c r="R49" s="217">
        <v>-11023.76</v>
      </c>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97431</v>
      </c>
      <c r="K51" s="217">
        <v>113590.03</v>
      </c>
      <c r="L51" s="217">
        <v>16158.94</v>
      </c>
      <c r="M51" s="217"/>
      <c r="N51" s="217"/>
      <c r="O51" s="216"/>
      <c r="P51" s="216">
        <v>1372684</v>
      </c>
      <c r="Q51" s="217">
        <v>1653873.84</v>
      </c>
      <c r="R51" s="217">
        <v>281190.21999999997</v>
      </c>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0</v>
      </c>
      <c r="AU51" s="220">
        <v>0</v>
      </c>
      <c r="AV51" s="220">
        <v>521114</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232</v>
      </c>
      <c r="K56" s="229">
        <v>232</v>
      </c>
      <c r="L56" s="229">
        <v>0</v>
      </c>
      <c r="M56" s="229"/>
      <c r="N56" s="229"/>
      <c r="O56" s="228"/>
      <c r="P56" s="228">
        <v>2963</v>
      </c>
      <c r="Q56" s="229">
        <v>2963</v>
      </c>
      <c r="R56" s="229">
        <v>0</v>
      </c>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0</v>
      </c>
      <c r="AU56" s="230">
        <v>0</v>
      </c>
      <c r="AV56" s="230">
        <v>1066</v>
      </c>
      <c r="AW56" s="288"/>
    </row>
    <row r="57" spans="2:49" x14ac:dyDescent="0.2">
      <c r="B57" s="245" t="s">
        <v>272</v>
      </c>
      <c r="C57" s="203" t="s">
        <v>25</v>
      </c>
      <c r="D57" s="231">
        <v>0</v>
      </c>
      <c r="E57" s="232"/>
      <c r="F57" s="232"/>
      <c r="G57" s="232"/>
      <c r="H57" s="232"/>
      <c r="I57" s="231"/>
      <c r="J57" s="231">
        <v>415</v>
      </c>
      <c r="K57" s="232">
        <v>415</v>
      </c>
      <c r="L57" s="232">
        <v>70</v>
      </c>
      <c r="M57" s="232"/>
      <c r="N57" s="232"/>
      <c r="O57" s="231"/>
      <c r="P57" s="231">
        <v>5495</v>
      </c>
      <c r="Q57" s="232">
        <v>5495</v>
      </c>
      <c r="R57" s="232">
        <v>1080</v>
      </c>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0</v>
      </c>
      <c r="AU57" s="233">
        <v>0</v>
      </c>
      <c r="AV57" s="233">
        <v>2265</v>
      </c>
      <c r="AW57" s="289"/>
    </row>
    <row r="58" spans="2:49" x14ac:dyDescent="0.2">
      <c r="B58" s="245" t="s">
        <v>273</v>
      </c>
      <c r="C58" s="203" t="s">
        <v>26</v>
      </c>
      <c r="D58" s="309"/>
      <c r="E58" s="310"/>
      <c r="F58" s="310"/>
      <c r="G58" s="310"/>
      <c r="H58" s="310"/>
      <c r="I58" s="309"/>
      <c r="J58" s="231">
        <v>29</v>
      </c>
      <c r="K58" s="232">
        <v>29</v>
      </c>
      <c r="L58" s="232"/>
      <c r="M58" s="232"/>
      <c r="N58" s="232"/>
      <c r="O58" s="231"/>
      <c r="P58" s="231">
        <v>15</v>
      </c>
      <c r="Q58" s="232">
        <v>15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6</v>
      </c>
      <c r="AW58" s="289"/>
    </row>
    <row r="59" spans="2:49" x14ac:dyDescent="0.2">
      <c r="B59" s="245" t="s">
        <v>274</v>
      </c>
      <c r="C59" s="203" t="s">
        <v>27</v>
      </c>
      <c r="D59" s="231">
        <v>0</v>
      </c>
      <c r="E59" s="232"/>
      <c r="F59" s="232"/>
      <c r="G59" s="232"/>
      <c r="H59" s="232"/>
      <c r="I59" s="231"/>
      <c r="J59" s="231">
        <v>5072</v>
      </c>
      <c r="K59" s="232">
        <v>5118</v>
      </c>
      <c r="L59" s="232">
        <v>731</v>
      </c>
      <c r="M59" s="232"/>
      <c r="N59" s="232"/>
      <c r="O59" s="231"/>
      <c r="P59" s="231">
        <v>66665</v>
      </c>
      <c r="Q59" s="232">
        <v>66504</v>
      </c>
      <c r="R59" s="232">
        <v>11359</v>
      </c>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0</v>
      </c>
      <c r="AU59" s="233">
        <v>0</v>
      </c>
      <c r="AV59" s="233">
        <v>29049</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422.66666666666669</v>
      </c>
      <c r="K60" s="235">
        <f t="shared" si="0"/>
        <v>426.5</v>
      </c>
      <c r="L60" s="235">
        <f t="shared" si="0"/>
        <v>60.916666666666664</v>
      </c>
      <c r="M60" s="235">
        <f t="shared" si="0"/>
        <v>0</v>
      </c>
      <c r="N60" s="235">
        <f t="shared" si="0"/>
        <v>0</v>
      </c>
      <c r="O60" s="234">
        <f t="shared" si="0"/>
        <v>0</v>
      </c>
      <c r="P60" s="234">
        <f t="shared" si="0"/>
        <v>5555.416666666667</v>
      </c>
      <c r="Q60" s="235">
        <f t="shared" si="0"/>
        <v>5542</v>
      </c>
      <c r="R60" s="235">
        <f t="shared" si="0"/>
        <v>946.58333333333337</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0</v>
      </c>
      <c r="AU60" s="236">
        <f>AU$59/12</f>
        <v>0</v>
      </c>
      <c r="AV60" s="236">
        <f>AV$59/12</f>
        <v>2420.75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1503802</v>
      </c>
      <c r="K5" s="326">
        <v>1810031.5700002001</v>
      </c>
      <c r="L5" s="326">
        <v>271877.95</v>
      </c>
      <c r="M5" s="326"/>
      <c r="N5" s="326"/>
      <c r="O5" s="325"/>
      <c r="P5" s="325">
        <v>22630369</v>
      </c>
      <c r="Q5" s="326">
        <v>27347978.18</v>
      </c>
      <c r="R5" s="326">
        <v>4745701.83</v>
      </c>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66083</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v>0</v>
      </c>
      <c r="L10" s="319">
        <v>0</v>
      </c>
      <c r="M10" s="319"/>
      <c r="N10" s="319"/>
      <c r="O10" s="318"/>
      <c r="P10" s="365"/>
      <c r="Q10" s="319">
        <v>0</v>
      </c>
      <c r="R10" s="319">
        <v>0</v>
      </c>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-2057</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-102658.68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655211</v>
      </c>
      <c r="K23" s="362"/>
      <c r="L23" s="362"/>
      <c r="M23" s="362"/>
      <c r="N23" s="362"/>
      <c r="O23" s="364"/>
      <c r="P23" s="318">
        <v>19171800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6353</v>
      </c>
      <c r="AU23" s="321">
        <v>0</v>
      </c>
      <c r="AV23" s="368"/>
      <c r="AW23" s="374"/>
    </row>
    <row r="24" spans="2:49" ht="28.5" customHeight="1" x14ac:dyDescent="0.2">
      <c r="B24" s="345" t="s">
        <v>114</v>
      </c>
      <c r="C24" s="331"/>
      <c r="D24" s="365"/>
      <c r="E24" s="319"/>
      <c r="F24" s="319"/>
      <c r="G24" s="319"/>
      <c r="H24" s="319"/>
      <c r="I24" s="318"/>
      <c r="J24" s="365"/>
      <c r="K24" s="319">
        <v>769814.82</v>
      </c>
      <c r="L24" s="319">
        <v>134489.48000000001</v>
      </c>
      <c r="M24" s="319"/>
      <c r="N24" s="319"/>
      <c r="O24" s="318"/>
      <c r="P24" s="365"/>
      <c r="Q24" s="319">
        <v>24469241.530000001</v>
      </c>
      <c r="R24" s="319">
        <v>6064905.7300000004</v>
      </c>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87452</v>
      </c>
      <c r="K26" s="362"/>
      <c r="L26" s="362"/>
      <c r="M26" s="362"/>
      <c r="N26" s="362"/>
      <c r="O26" s="364"/>
      <c r="P26" s="318">
        <v>1543934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v>9340.1439999999875</v>
      </c>
      <c r="L27" s="319">
        <v>2943.6678999999999</v>
      </c>
      <c r="M27" s="319"/>
      <c r="N27" s="319"/>
      <c r="O27" s="318"/>
      <c r="P27" s="365"/>
      <c r="Q27" s="319">
        <v>264441.85182112217</v>
      </c>
      <c r="R27" s="319">
        <v>125785.1759</v>
      </c>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194387</v>
      </c>
      <c r="K28" s="363"/>
      <c r="L28" s="363"/>
      <c r="M28" s="363"/>
      <c r="N28" s="363"/>
      <c r="O28" s="365"/>
      <c r="P28" s="318">
        <v>1360550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6353</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11986</v>
      </c>
      <c r="K30" s="362"/>
      <c r="L30" s="362"/>
      <c r="M30" s="362"/>
      <c r="N30" s="362"/>
      <c r="O30" s="364"/>
      <c r="P30" s="318">
        <v>122</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v>10067.450000000001</v>
      </c>
      <c r="L31" s="319"/>
      <c r="M31" s="319"/>
      <c r="N31" s="319"/>
      <c r="O31" s="318"/>
      <c r="P31" s="365"/>
      <c r="Q31" s="319">
        <v>-256.11</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1919</v>
      </c>
      <c r="K32" s="363"/>
      <c r="L32" s="363"/>
      <c r="M32" s="363"/>
      <c r="N32" s="363"/>
      <c r="O32" s="365"/>
      <c r="P32" s="318">
        <v>378</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66083</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v>0</v>
      </c>
      <c r="L39" s="319">
        <v>0</v>
      </c>
      <c r="M39" s="319"/>
      <c r="N39" s="319"/>
      <c r="O39" s="318"/>
      <c r="P39" s="365"/>
      <c r="Q39" s="319">
        <v>0</v>
      </c>
      <c r="R39" s="319">
        <v>0</v>
      </c>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-2057</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13307</v>
      </c>
      <c r="K49" s="319">
        <v>12340.25</v>
      </c>
      <c r="L49" s="319"/>
      <c r="M49" s="319"/>
      <c r="N49" s="319"/>
      <c r="O49" s="318"/>
      <c r="P49" s="318">
        <v>167213</v>
      </c>
      <c r="Q49" s="319">
        <v>604456.71655059268</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44049</v>
      </c>
      <c r="K50" s="363"/>
      <c r="L50" s="363"/>
      <c r="M50" s="363"/>
      <c r="N50" s="363"/>
      <c r="O50" s="365"/>
      <c r="P50" s="318">
        <v>65233</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v>10688.54514032224</v>
      </c>
      <c r="L53" s="319">
        <v>35007.78011996187</v>
      </c>
      <c r="M53" s="319"/>
      <c r="N53" s="319"/>
      <c r="O53" s="318"/>
      <c r="P53" s="318">
        <v>0</v>
      </c>
      <c r="Q53" s="319">
        <v>-106707.19498444615</v>
      </c>
      <c r="R53" s="319">
        <v>-475391.83856541052</v>
      </c>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657225</v>
      </c>
      <c r="K54" s="323">
        <f>K24+K27+K31+K35-K36+K39+K42+K45+K46-K49+K51+K52+K53</f>
        <v>787570.70914032217</v>
      </c>
      <c r="L54" s="323">
        <f>L24+L27+L31+L35-L36+L39+L42+L45+L46-L49+L51+L52+L53</f>
        <v>172440.92801996187</v>
      </c>
      <c r="M54" s="323">
        <f>M24+M27+M31+M35-M36+M39+M42+M45+M46-M49+M51+M52+M53</f>
        <v>0</v>
      </c>
      <c r="N54" s="323">
        <f>N24+N27+N31+N35-N36+N39+N42+N45+N46-N49+N51+N52+N53</f>
        <v>0</v>
      </c>
      <c r="O54" s="322">
        <f>O24+O27+O31+O35-O36+O39+O42+O45+O46-O49+O51+O52+O53</f>
        <v>0</v>
      </c>
      <c r="P54" s="322">
        <f>P23+P26-P28+P30-P32+P34-P36+P38+P41-P43+P45+P46-P47-P49+P50+P51+P52+P53</f>
        <v>19252948</v>
      </c>
      <c r="Q54" s="323">
        <f>Q24+Q27+Q31+Q35-Q36+Q39+Q42+Q45+Q46-Q49+Q51+Q52+Q53</f>
        <v>24022263.360286083</v>
      </c>
      <c r="R54" s="323">
        <f>R24+R27+R31+R35-R36+R39+R42+R45+R46-R49+R51+R52+R53</f>
        <v>5715299.0673345905</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0</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208</v>
      </c>
      <c r="K55" s="323">
        <f t="shared" si="0"/>
        <v>435.73</v>
      </c>
      <c r="L55" s="323">
        <f t="shared" si="0"/>
        <v>227.96</v>
      </c>
      <c r="M55" s="323">
        <f t="shared" si="0"/>
        <v>0</v>
      </c>
      <c r="N55" s="323">
        <f t="shared" si="0"/>
        <v>0</v>
      </c>
      <c r="O55" s="322">
        <f t="shared" si="0"/>
        <v>0</v>
      </c>
      <c r="P55" s="322">
        <f t="shared" si="0"/>
        <v>35121.550000000003</v>
      </c>
      <c r="Q55" s="323">
        <f t="shared" si="0"/>
        <v>42330.48</v>
      </c>
      <c r="R55" s="323">
        <f t="shared" si="0"/>
        <v>5714.47</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v>2547.27</v>
      </c>
      <c r="K56" s="319">
        <v>2979.43</v>
      </c>
      <c r="L56" s="319">
        <v>432.16</v>
      </c>
      <c r="M56" s="319"/>
      <c r="N56" s="319"/>
      <c r="O56" s="318"/>
      <c r="P56" s="318">
        <v>35121.550000000003</v>
      </c>
      <c r="Q56" s="319">
        <v>42330.48</v>
      </c>
      <c r="R56" s="319">
        <v>7208.93</v>
      </c>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208</v>
      </c>
      <c r="K57" s="319">
        <v>435.73</v>
      </c>
      <c r="L57" s="319">
        <v>227.96</v>
      </c>
      <c r="M57" s="319"/>
      <c r="N57" s="319"/>
      <c r="O57" s="318"/>
      <c r="P57" s="318">
        <v>56702</v>
      </c>
      <c r="Q57" s="319">
        <v>62416.24</v>
      </c>
      <c r="R57" s="319">
        <v>5714.47</v>
      </c>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v>1769542.2</v>
      </c>
      <c r="I5" s="403">
        <v>842906.13</v>
      </c>
      <c r="J5" s="454"/>
      <c r="K5" s="454"/>
      <c r="L5" s="448"/>
      <c r="M5" s="402">
        <v>13200727.9</v>
      </c>
      <c r="N5" s="403">
        <v>20244569.07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v>1770048.518757005</v>
      </c>
      <c r="I6" s="398">
        <v>860120.59807975357</v>
      </c>
      <c r="J6" s="400">
        <f>SUM('Pt 1 Summary of Data'!K$12,'Pt 1 Summary of Data'!K$22)+SUM('Pt 1 Summary of Data'!M$12,'Pt 1 Summary of Data'!M$22)-SUM('Pt 1 Summary of Data'!N$12,'Pt 1 Summary of Data'!N$22)</f>
        <v>788006.43914032215</v>
      </c>
      <c r="K6" s="400">
        <f>SUM(H6:J6)</f>
        <v>3418175.5559770805</v>
      </c>
      <c r="L6" s="401">
        <f>SUM('Pt 1 Summary of Data'!O$12,'Pt 1 Summary of Data'!O$22)</f>
        <v>0</v>
      </c>
      <c r="M6" s="397">
        <v>13165850.459476544</v>
      </c>
      <c r="N6" s="398">
        <v>20385920.460456885</v>
      </c>
      <c r="O6" s="400">
        <f>SUM('Pt 1 Summary of Data'!Q$12,'Pt 1 Summary of Data'!Q$22)+SUM('Pt 1 Summary of Data'!S$12,'Pt 1 Summary of Data'!S$22)-SUM('Pt 1 Summary of Data'!T$12,'Pt 1 Summary of Data'!T$22)</f>
        <v>24064593.840286084</v>
      </c>
      <c r="P6" s="400">
        <f>SUM(M6:O6)</f>
        <v>57616364.760219514</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v>66623.92</v>
      </c>
      <c r="I7" s="398">
        <v>64875.1</v>
      </c>
      <c r="J7" s="400">
        <f>SUM('Pt 1 Summary of Data'!K$37:K$41)+SUM('Pt 1 Summary of Data'!M$37:M$41)-SUM('Pt 1 Summary of Data'!N$37:N$41)+MAX(0,MIN('Pt 1 Summary of Data'!K$42+'Pt 1 Summary of Data'!M$42-'Pt 1 Summary of Data'!N$42,0.3%*('Pt 1 Summary of Data'!K$5+'Pt 1 Summary of Data'!M$5-'Pt 1 Summary of Data'!N$5-SUM(J$10:J$11))))</f>
        <v>28741.89</v>
      </c>
      <c r="K7" s="400">
        <f>SUM(H7:J7)</f>
        <v>160240.90999999997</v>
      </c>
      <c r="L7" s="401">
        <f>SUM('Pt 1 Summary of Data'!O$37:O$41)+MAX(0,MIN(VALUE('Pt 1 Summary of Data'!O$42),0.3%*('Pt 1 Summary of Data'!O$5-L$10)))</f>
        <v>0</v>
      </c>
      <c r="M7" s="397">
        <v>362882.71</v>
      </c>
      <c r="N7" s="398">
        <v>445367.11</v>
      </c>
      <c r="O7" s="400">
        <f>SUM('Pt 1 Summary of Data'!Q$37:Q$41)+SUM('Pt 1 Summary of Data'!S$37:S$41)-SUM('Pt 1 Summary of Data'!T$37:T$41)+MAX(0,MIN('Pt 1 Summary of Data'!Q$42+'Pt 1 Summary of Data'!S$42-'Pt 1 Summary of Data'!T$42,0.3%*('Pt 1 Summary of Data'!Q$5+'Pt 1 Summary of Data'!S$5-'Pt 1 Summary of Data'!T$5)))</f>
        <v>507245.54</v>
      </c>
      <c r="P7" s="400">
        <f>SUM(M7:O7)</f>
        <v>1315495.3600000001</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-19562.32</v>
      </c>
      <c r="J10" s="400">
        <f>'Pt 2 Premium and Claims'!K$16+'Pt 2 Premium and Claims'!M$16-'Pt 2 Premium and Claims'!N$16</f>
        <v>-102658.68</v>
      </c>
      <c r="K10" s="400">
        <f>SUM(H10:J10)</f>
        <v>-122221</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1836672.4387570049</v>
      </c>
      <c r="I12" s="400">
        <f>SUM(I$6:I$7) - SUM(I$10:I$11)+IF(AND(OR('Company Information'!$C$12="District of Columbia",'Company Information'!$C$12="Massachusetts",'Company Information'!$C$12="Vermont"),SUM($H$6:$K$11,$H$15:$K$16,$H$38:$I$38)&lt;&gt;0),SUM(D$6:D$7) - SUM(D$8:D$11),0)</f>
        <v>944558.0180797535</v>
      </c>
      <c r="J12" s="400">
        <f>SUM(J$6:J$7)-SUM(J$10:J$11)+IF(AND(OR('Company Information'!$C$12="District of Columbia",'Company Information'!$C$12="Massachusetts",'Company Information'!$C$12="Vermont"),SUM($H$6:$K$11,$H$15:$K$16,$H$38:$I$38)&lt;&gt;0),SUM(E$6:E$7)-SUM(E$8:E$11),0)</f>
        <v>919407.00914032222</v>
      </c>
      <c r="K12" s="400">
        <f>IFERROR(SUM(H$12:J$12)+H$17*MAX(0,J$50-H$50)+I$17*MAX(0,J$50-I$50),0)</f>
        <v>3700637.4659770802</v>
      </c>
      <c r="L12" s="447"/>
      <c r="M12" s="399">
        <f>SUM(M$6:M$7)</f>
        <v>13528733.169476544</v>
      </c>
      <c r="N12" s="400">
        <f>SUM(N$6:N$7)</f>
        <v>20831287.570456885</v>
      </c>
      <c r="O12" s="400">
        <f>SUM(O$6:O$7)</f>
        <v>24571839.380286083</v>
      </c>
      <c r="P12" s="400">
        <f>SUM(M$12:O$12)+M$17*MAX(0,O$50-M$50)+N$17*MAX(0,O$50-N$50)</f>
        <v>58931860.120219514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v>3218258.67</v>
      </c>
      <c r="I15" s="403">
        <v>2259797.0099999998</v>
      </c>
      <c r="J15" s="395">
        <f>SUM('Pt 1 Summary of Data'!K$5:K$7)+SUM('Pt 1 Summary of Data'!M$5:M$7)-SUM('Pt 1 Summary of Data'!N$5:N$7)-SUM(J$10:J$11)</f>
        <v>1807150.4400002002</v>
      </c>
      <c r="K15" s="395">
        <f>SUM(H15:J15)</f>
        <v>7285206.1200002003</v>
      </c>
      <c r="L15" s="396">
        <f>SUM('Pt 1 Summary of Data'!O$5:O$7)-L$10</f>
        <v>0</v>
      </c>
      <c r="M15" s="402">
        <v>17294069.829999998</v>
      </c>
      <c r="N15" s="403">
        <v>22366513.98</v>
      </c>
      <c r="O15" s="395">
        <f>SUM('Pt 1 Summary of Data'!Q$5:Q$7)+SUM('Pt 1 Summary of Data'!S$5:S$7)-SUM('Pt 1 Summary of Data'!T$5:T$7)+N$56</f>
        <v>27303296.149999999</v>
      </c>
      <c r="P15" s="395">
        <f>SUM(M15:O15)</f>
        <v>66963879.960000001</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v>242504.32000000001</v>
      </c>
      <c r="I16" s="398">
        <v>473782.97</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302093.13912251918</v>
      </c>
      <c r="K16" s="400">
        <f>SUM(H16:J16)</f>
        <v>1018380.4291225192</v>
      </c>
      <c r="L16" s="401">
        <f>SUM('Pt 1 Summary of Data'!O$25:O$28,'Pt 1 Summary of Data'!O$30,'Pt 1 Summary of Data'!O$34:O$35)+IF('Company Information'!$C$15="No",IF(MAX('Pt 1 Summary of Data'!O$31:O$32)=0,MIN('Pt 1 Summary of Data'!O$31:O$32),MAX('Pt 1 Summary of Data'!O$31:O$32)),SUM('Pt 1 Summary of Data'!O$31:O$32))</f>
        <v>0</v>
      </c>
      <c r="M16" s="397">
        <v>966746.37</v>
      </c>
      <c r="N16" s="398">
        <v>534874.18000000005</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651340.62225477211</v>
      </c>
      <c r="P16" s="400">
        <f>SUM(M16:O16)</f>
        <v>2152961.1722547719</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2975754.35</v>
      </c>
      <c r="I17" s="400">
        <f>I$15-I$16+IF(AND(OR('Company Information'!$C$12="District of Columbia",'Company Information'!$C$12="Massachusetts",'Company Information'!$C$12="Vermont"),SUM($H$6:$K$11,$H$15:$K$16,$H$38:$I$38)&lt;&gt;0),D$15-D$16,0)</f>
        <v>1786014.0399999998</v>
      </c>
      <c r="J17" s="400">
        <f>J$15-J$16+IF(AND(OR('Company Information'!$C$12="District of Columbia",'Company Information'!$C$12="Massachusetts",'Company Information'!$C$12="Vermont"),SUM($H$6:$K$11,$H$15:$K$16,$H$38:$I$38)&lt;&gt;0),E$15-E$16,0)</f>
        <v>1505057.300877681</v>
      </c>
      <c r="K17" s="400">
        <f>K$15-K$16+IF(AND(OR('Company Information'!$C$12="District of Columbia",'Company Information'!$C$12="Massachusetts",'Company Information'!$C$12="Vermont"),SUM($H$6:$K$11,$H$15:$K$16,$H$38:$I$38)&lt;&gt;0),F$15-F$16,0)</f>
        <v>6266825.6908776816</v>
      </c>
      <c r="L17" s="450"/>
      <c r="M17" s="399">
        <f>M$15-M$16</f>
        <v>16327323.459999999</v>
      </c>
      <c r="N17" s="400">
        <f>N$15-N$16</f>
        <v>21831639.800000001</v>
      </c>
      <c r="O17" s="400">
        <f>O$15-O$16</f>
        <v>26651955.527745225</v>
      </c>
      <c r="P17" s="400">
        <f>P$15-P$16</f>
        <v>64810918.78774523</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v>774</v>
      </c>
      <c r="I38" s="405">
        <v>510.08</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426.5</v>
      </c>
      <c r="K38" s="432">
        <f>SUM(H$38:J$38)+IF(AND(OR('Company Information'!$C$12="District of Columbia",'Company Information'!$C$12="Massachusetts",'Company Information'!$C$12="Vermont"),SUM($H$6:$K$11,$H$15:$K$16,$H$38:$I$38)&lt;&gt;0,SUM(H$38:I$38)&lt;&gt;SUM(C$38:D$38)),SUM(C$38:D$38),0)</f>
        <v>1710.58</v>
      </c>
      <c r="L38" s="448"/>
      <c r="M38" s="404">
        <v>3898</v>
      </c>
      <c r="N38" s="405">
        <v>4753.92</v>
      </c>
      <c r="O38" s="432">
        <f>('Pt 1 Summary of Data'!Q$59+'Pt 1 Summary of Data'!S$59-'Pt 1 Summary of Data'!T$59)/12</f>
        <v>5542</v>
      </c>
      <c r="P38" s="432">
        <f>SUM(M$38:O$38)</f>
        <v>14193.92</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6.8314680000000003E-2</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2.3204053333333332E-2</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2658</v>
      </c>
      <c r="L40" s="447"/>
      <c r="M40" s="443"/>
      <c r="N40" s="441"/>
      <c r="O40" s="441"/>
      <c r="P40" s="398">
        <v>2156</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1.1790415999999999</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 ca="1">IF(OR(K$38&lt;1000,K$38&gt;=75000),0,K$39*K$41)</f>
        <v>8.0545849610688003E-2</v>
      </c>
      <c r="L42" s="447"/>
      <c r="M42" s="443"/>
      <c r="N42" s="441"/>
      <c r="O42" s="441"/>
      <c r="P42" s="436">
        <f ca="1">IF(OR(P$38&lt;1000,P$38&gt;=75000),0,P$39*P$41)</f>
        <v>2.3204053333333332E-2</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f>IF(OR(K$38&lt;1000,K$17&lt;=0),"",K$12/K$17)</f>
        <v>0.59051227024934183</v>
      </c>
      <c r="L45" s="447"/>
      <c r="M45" s="438">
        <f>IF(OR(M$38&lt;1000,M$17&lt;=0),"",M$12/M$17)</f>
        <v>0.82859466847829233</v>
      </c>
      <c r="N45" s="436">
        <f>IF(OR(N$38&lt;1000,N$17&lt;=0),"",N$12/N$17)</f>
        <v>0.95417878644447418</v>
      </c>
      <c r="O45" s="436">
        <f>IF(OR(O$38&lt;1000,O$17&lt;=0),"",O$12/O$17)</f>
        <v>0.92195258823339632</v>
      </c>
      <c r="P45" s="436">
        <f>IF(OR(P$38&lt;1000,P$17&lt;=0),"",P$12/P$17)</f>
        <v>0.90928907076939391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f ca="1">IF(K$45="","",K$42)</f>
        <v>8.0545849610688003E-2</v>
      </c>
      <c r="L47" s="447"/>
      <c r="M47" s="443"/>
      <c r="N47" s="441"/>
      <c r="O47" s="441"/>
      <c r="P47" s="436">
        <f ca="1">IF(P$45="","",P$42)</f>
        <v>2.3204053333333332E-2</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f ca="1">IF(K$45="","",ROUND(K$45+MAX(0,K$47),3))</f>
        <v>0.67100000000000004</v>
      </c>
      <c r="L48" s="447"/>
      <c r="M48" s="443"/>
      <c r="N48" s="441"/>
      <c r="O48" s="441"/>
      <c r="P48" s="436">
        <f ca="1">IF(P$45="","",ROUND(P$45+MAX(0,P$47),3))</f>
        <v>0.93200000000000005</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f ca="1">K$48</f>
        <v>0.67100000000000004</v>
      </c>
      <c r="L51" s="447"/>
      <c r="M51" s="444"/>
      <c r="N51" s="442"/>
      <c r="O51" s="442"/>
      <c r="P51" s="436">
        <f ca="1">P$48</f>
        <v>0.93200000000000005</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f>IF(K$38&lt;1000,"",MAX(0,J$15-J$16))</f>
        <v>1505057.300877681</v>
      </c>
      <c r="L52" s="447"/>
      <c r="M52" s="443"/>
      <c r="N52" s="441"/>
      <c r="O52" s="441"/>
      <c r="P52" s="400">
        <f>IF(P$38&lt;1000,"",MAX(0,O$15-O$16))</f>
        <v>26651955.527745225</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 ca="1">IF(OR(K$38&lt;1000,K$17&lt;=0),0,MAX(0,K$50-K$51)*K$52)</f>
        <v>194152.39181322086</v>
      </c>
      <c r="L53" s="447"/>
      <c r="M53" s="443"/>
      <c r="N53" s="441"/>
      <c r="O53" s="441"/>
      <c r="P53" s="400">
        <f ca="1">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232</v>
      </c>
      <c r="E4" s="104">
        <f>'Pt 1 Summary of Data'!$Q$56+'Pt 1 Summary of Data'!$S$56-'Pt 1 Summary of Data'!$T$56</f>
        <v>2963</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38</v>
      </c>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v>0</v>
      </c>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 ca="1">'Pt 3 MLR and Rebate Calculation'!$K$53</f>
        <v>194152.39181322086</v>
      </c>
      <c r="E11" s="97">
        <f ca="1">'Pt 3 MLR and Rebate Calculation'!$P$53</f>
        <v>0</v>
      </c>
      <c r="F11" s="97">
        <f>'Pt 3 MLR and Rebate Calculation'!$T$53</f>
        <v>0</v>
      </c>
      <c r="G11" s="97"/>
      <c r="H11" s="97"/>
      <c r="I11" s="178"/>
      <c r="J11" s="178"/>
      <c r="K11" s="196"/>
    </row>
    <row r="12" spans="2:11" x14ac:dyDescent="0.2">
      <c r="B12" s="124" t="s">
        <v>93</v>
      </c>
      <c r="C12" s="94"/>
      <c r="D12" s="95">
        <v>0</v>
      </c>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194152.39</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66082.52</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