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AB39" i="10" s="1"/>
  <c r="Z46" i="10"/>
  <c r="Y46" i="10"/>
  <c r="X46" i="10"/>
  <c r="W46" i="10"/>
  <c r="V46" i="10"/>
  <c r="U46" i="10"/>
  <c r="T46" i="10"/>
  <c r="S46" i="10"/>
  <c r="R46" i="10"/>
  <c r="Q46" i="10"/>
  <c r="O45" i="10"/>
  <c r="N45" i="10"/>
  <c r="M45" i="10"/>
  <c r="AB42" i="10"/>
  <c r="X42" i="10"/>
  <c r="T42" i="10"/>
  <c r="AB41" i="10"/>
  <c r="X41" i="10"/>
  <c r="T41" i="10"/>
  <c r="P41" i="10"/>
  <c r="K41" i="10"/>
  <c r="F41" i="10"/>
  <c r="X39" i="10"/>
  <c r="P39"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V13" i="10" s="1"/>
  <c r="T15" i="10"/>
  <c r="S15" i="10"/>
  <c r="P15" i="10"/>
  <c r="O15" i="10"/>
  <c r="L15" i="10"/>
  <c r="AA13" i="10"/>
  <c r="Z13" i="10"/>
  <c r="Y13" i="10"/>
  <c r="W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S54" i="18"/>
  <c r="AS12" i="4" s="1"/>
  <c r="AC54" i="18"/>
  <c r="AB54" i="18"/>
  <c r="AB12" i="4" s="1"/>
  <c r="AA54" i="18"/>
  <c r="Z54" i="18"/>
  <c r="Y54" i="18"/>
  <c r="X54" i="18"/>
  <c r="W54" i="18"/>
  <c r="W12" i="4" s="1"/>
  <c r="V54" i="18"/>
  <c r="U54" i="18"/>
  <c r="T54" i="18"/>
  <c r="S54" i="18"/>
  <c r="R54" i="18"/>
  <c r="R12" i="4" s="1"/>
  <c r="Q54" i="18"/>
  <c r="P54" i="18"/>
  <c r="P12" i="4" s="1"/>
  <c r="O54" i="18"/>
  <c r="N54" i="18"/>
  <c r="M54" i="18"/>
  <c r="L54" i="18"/>
  <c r="K54" i="18"/>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12" i="4"/>
  <c r="AC12" i="4"/>
  <c r="AA12" i="4"/>
  <c r="Z12" i="4"/>
  <c r="Y12" i="4"/>
  <c r="X12" i="4"/>
  <c r="V12" i="4"/>
  <c r="U12" i="4"/>
  <c r="T12" i="4"/>
  <c r="S12" i="4"/>
  <c r="Q12" i="4"/>
  <c r="O12" i="4"/>
  <c r="N12" i="4"/>
  <c r="M12" i="4"/>
  <c r="L12" i="4"/>
  <c r="K12" i="4"/>
  <c r="J12" i="4"/>
  <c r="H12" i="4"/>
  <c r="G12" i="4"/>
  <c r="F12" i="4"/>
  <c r="E12" i="4"/>
  <c r="D12" i="4"/>
  <c r="AU5" i="4"/>
  <c r="AT5" i="4"/>
  <c r="AS5" i="4"/>
  <c r="AC5" i="4"/>
  <c r="AB5" i="4"/>
  <c r="AA5" i="4"/>
  <c r="Z5" i="4"/>
  <c r="Y5" i="4"/>
  <c r="X5" i="4"/>
  <c r="W5" i="4"/>
  <c r="V5" i="4"/>
  <c r="U5" i="4"/>
  <c r="T5" i="4"/>
  <c r="S5" i="4"/>
  <c r="R5" i="4"/>
  <c r="Q5" i="4"/>
  <c r="P5" i="4"/>
  <c r="O5" i="4"/>
  <c r="N5" i="4"/>
  <c r="M5" i="4"/>
  <c r="J15" i="10" s="1"/>
  <c r="L5" i="4"/>
  <c r="K5" i="4"/>
  <c r="J5" i="4"/>
  <c r="I5" i="4"/>
  <c r="G15" i="10" s="1"/>
  <c r="H5" i="4"/>
  <c r="G5" i="4"/>
  <c r="F5" i="4"/>
  <c r="E5" i="4"/>
  <c r="E15" i="10" s="1"/>
  <c r="D5" i="4"/>
  <c r="L30" i="10" l="1"/>
  <c r="L31" i="10" s="1"/>
  <c r="J7" i="10"/>
  <c r="K7" i="10" s="1"/>
  <c r="K15" i="10"/>
  <c r="F15" i="10"/>
  <c r="G7" i="10"/>
  <c r="G24" i="10" s="1"/>
  <c r="E7" i="10"/>
  <c r="G27" i="10"/>
  <c r="T39" i="10"/>
  <c r="P42" i="10"/>
  <c r="P47" i="10" s="1"/>
  <c r="P48" i="10" s="1"/>
  <c r="P51" i="10" s="1"/>
  <c r="P53" i="10" s="1"/>
  <c r="E11" i="16" s="1"/>
  <c r="L29" i="10"/>
  <c r="L33" i="10" s="1"/>
  <c r="L34" i="10" s="1"/>
  <c r="L21" i="10"/>
  <c r="L26" i="10" s="1"/>
  <c r="L25" i="10" s="1"/>
  <c r="L28" i="10" s="1"/>
  <c r="X13" i="10"/>
  <c r="T13" i="10"/>
  <c r="U13" i="10"/>
  <c r="S13" i="10"/>
  <c r="K17" i="10" l="1"/>
  <c r="I12" i="10"/>
  <c r="G32" i="10"/>
  <c r="H12" i="10"/>
  <c r="G23" i="10"/>
  <c r="H17" i="10"/>
  <c r="H45" i="10" s="1"/>
  <c r="G20" i="10"/>
  <c r="G19" i="10"/>
  <c r="I17" i="10"/>
  <c r="I45" i="10" s="1"/>
  <c r="J17" i="10"/>
  <c r="F7" i="10"/>
  <c r="C12" i="10" s="1"/>
  <c r="E38" i="10"/>
  <c r="J38" i="10"/>
  <c r="E17" i="10"/>
  <c r="J12" i="10"/>
  <c r="D17" i="10" l="1"/>
  <c r="D45" i="10" s="1"/>
  <c r="J45" i="10"/>
  <c r="K38" i="10"/>
  <c r="F17" i="10"/>
  <c r="C17" i="10"/>
  <c r="D12" i="10"/>
  <c r="K12" i="10"/>
  <c r="E45" i="10"/>
  <c r="F38" i="10"/>
  <c r="G22" i="10"/>
  <c r="E12" i="10"/>
  <c r="F45" i="10" l="1"/>
  <c r="F42" i="10"/>
  <c r="F53" i="10"/>
  <c r="C11" i="16" s="1"/>
  <c r="F52" i="10"/>
  <c r="C45" i="10"/>
  <c r="F12" i="10"/>
  <c r="K53" i="10"/>
  <c r="D11" i="16" s="1"/>
  <c r="K45" i="10"/>
  <c r="K52" i="10"/>
  <c r="K42" i="10"/>
  <c r="K39" i="10"/>
  <c r="F39" i="10"/>
  <c r="G30" i="10"/>
  <c r="G31" i="10" s="1"/>
  <c r="G29" i="10" s="1"/>
  <c r="G33" i="10" s="1"/>
  <c r="G34" i="10" s="1"/>
  <c r="G21" i="10"/>
  <c r="G26" i="10" s="1"/>
  <c r="G25" i="10" s="1"/>
  <c r="G28" i="10" s="1"/>
  <c r="K48" i="10" l="1"/>
  <c r="K51" i="10" s="1"/>
  <c r="K47" i="10"/>
  <c r="F47" i="10"/>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<sst xmlns="http://schemas.openxmlformats.org/spreadsheetml/2006/main" count="570" uniqueCount="508">
  <si>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</si>
  <si>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</si>
  <si>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</si>
  <si>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</si>
  <si>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</si>
  <si>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</si>
  <si>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</si>
  <si>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</si>
  <si>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</si>
  <si>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</si>
  <si>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</si>
  <si>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</si>
  <si>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</si>
  <si>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</si>
  <si>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</si>
  <si>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</si>
  <si>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</si>
  <si>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</si>
  <si>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</si>
  <si>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</si>
  <si>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</si>
  <si>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</si>
  <si>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</si>
  <si>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</si>
  <si>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</si>
  <si>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</si>
  <si>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</si>
  <si>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</si>
  <si>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</si>
  <si>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</si>
  <si>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</si>
  <si>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</si>
  <si>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</si>
  <si>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</si>
  <si>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</si>
  <si>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</si>
  <si>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</si>
  <si>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</si>
  <si>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</si>
  <si>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</si>
  <si>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</si>
  <si>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</si>
  <si>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</si>
  <si>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</si>
  <si>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</si>
  <si>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</si>
  <si>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</si>
  <si>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</si>
  <si>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</si>
  <si>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</si>
  <si>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</si>
  <si>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</si>
  <si>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</si>
  <si>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</si>
  <si>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</si>
  <si>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</si>
  <si>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</si>
  <si>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</si>
  <si>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</si>
  <si>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</si>
  <si>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</si>
  <si>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</si>
  <si>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</si>
  <si>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</si>
  <si>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</si>
  <si>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</si>
  <si>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</si>
  <si>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</si>
  <si>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</si>
  <si>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</si>
  <si>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</si>
  <si>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</si>
  <si>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</si>
  <si>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</si>
  <si>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</si>
  <si>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</si>
  <si>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</si>
  <si>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</si>
  <si>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</si>
  <si>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</si>
  <si>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</si>
  <si>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</si>
  <si>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</si>
  <si>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</si>
  <si>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</si>
  <si>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</si>
  <si>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</si>
  <si>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</si>
  <si>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</si>
  <si>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</si>
  <si>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</si>
  <si>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</si>
  <si>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</si>
  <si>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</si>
  <si>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</si>
  <si>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</si>
  <si>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</si>
  <si>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</si>
  <si>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</si>
  <si>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</si>
  <si>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</si>
  <si>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</si>
  <si>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</si>
  <si>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</si>
  <si>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</si>
  <si>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</si>
  <si>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</si>
  <si>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</si>
  <si>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</si>
  <si>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</si>
  <si>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</si>
  <si>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</si>
  <si>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</si>
  <si>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</si>
  <si>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</si>
  <si>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</si>
  <si>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</si>
  <si>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</si>
  <si>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</si>
  <si>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</si>
  <si>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</si>
  <si>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</si>
  <si>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</si>
  <si>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</si>
  <si>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</si>
  <si>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</si>
  <si>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</si>
  <si>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</si>
  <si>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</si>
  <si>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</si>
  <si>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</si>
  <si>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</si>
  <si>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</si>
  <si>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</si>
  <si>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</si>
  <si>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</si>
  <si>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</si>
  <si>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</si>
  <si>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</si>
  <si>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</si>
  <si>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</si>
  <si>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</si>
  <si>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</si>
  <si>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</si>
  <si>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</si>
  <si>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</si>
  <si>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</si>
  <si>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</si>
  <si>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</si>
  <si>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</si>
  <si>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</si>
  <si>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</si>
  <si>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</si>
  <si>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</si>
  <si>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</si>
  <si>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</si>
  <si>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</si>
  <si>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</si>
  <si>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</si>
  <si>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</si>
  <si>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</si>
  <si>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</si>
  <si>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</si>
  <si>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</si>
  <si>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</si>
  <si>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</si>
  <si>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</si>
  <si>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</si>
  <si>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</si>
  <si>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</si>
  <si>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</si>
  <si>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</si>
  <si>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</si>
  <si>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</si>
  <si>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</si>
  <si>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</si>
  <si>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</si>
  <si>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</si>
  <si>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</si>
  <si>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</si>
  <si>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</si>
  <si>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</si>
  <si>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</si>
  <si>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</si>
  <si>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</si>
  <si>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</si>
  <si>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</si>
  <si>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</si>
  <si>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</si>
  <si>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</si>
  <si>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</si>
  <si>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</si>
  <si>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</si>
  <si>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</si>
  <si>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</si>
  <si>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</si>
  <si>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</si>
  <si>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</si>
  <si>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</si>
  <si>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</si>
  <si>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</si>
  <si>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</si>
  <si>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</si>
  <si>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</si>
  <si>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</si>
  <si>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</si>
  <si>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</si>
  <si>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</si>
  <si>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</si>
  <si>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</si>
  <si>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</si>
  <si>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</si>
  <si>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</si>
  <si>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</si>
  <si>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</si>
  <si>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</si>
  <si>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</si>
  <si>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</si>
  <si>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</si>
  <si>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</si>
  <si>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</si>
  <si>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</si>
  <si>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</si>
  <si>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</si>
  <si>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</si>
  <si>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</si>
  <si>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</si>
  <si>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</si>
  <si>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</si>
  <si>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</si>
  <si>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</si>
  <si>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</si>
  <si>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</si>
  <si>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</si>
  <si>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</si>
  <si>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</si>
  <si>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</si>
  <si>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</si>
  <si>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</si>
  <si>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</si>
  <si>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</si>
  <si>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</si>
  <si>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</si>
  <si>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</si>
  <si>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</si>
  <si>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</si>
  <si>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</si>
  <si>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</si>
  <si>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</si>
  <si>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</si>
  <si>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</si>
  <si>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</si>
  <si>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</si>
  <si>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</si>
  <si>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</si>
  <si>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</si>
  <si>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</si>
  <si>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</si>
  <si>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</si>
  <si>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</si>
  <si>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</si>
  <si>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</si>
  <si>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</si>
  <si>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</si>
  <si>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</si>
  <si>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</si>
  <si>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</si>
  <si>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</si>
  <si>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</si>
  <si>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</si>
  <si>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</si>
  <si>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</si>
  <si>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</si>
  <si>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</si>
  <si>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</si>
  <si>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</si>
  <si>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</si>
  <si>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</si>
  <si>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</si>
  <si>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</si>
  <si>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</si>
  <si>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</si>
  <si>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</si>
  <si>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</si>
  <si>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</si>
  <si>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</si>
  <si>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</si>
  <si>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</si>
  <si>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</si>
  <si>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</si>
  <si>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</si>
  <si>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</si>
  <si>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</si>
  <si>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</si>
  <si>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</si>
  <si>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</si>
  <si>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</si>
  <si>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</si>
  <si>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</si>
  <si>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</si>
  <si>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</si>
  <si>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</si>
  <si>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</si>
  <si>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</si>
  <si>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</si>
  <si>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</si>
  <si>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</si>
  <si>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</si>
  <si>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</si>
  <si>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</si>
  <si>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</si>
  <si>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</si>
  <si>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</si>
  <si>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</si>
  <si>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</si>
  <si>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</si>
  <si>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</si>
  <si>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</si>
  <si>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</si>
  <si>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</si>
  <si>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</si>
  <si>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</si>
  <si>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</si>
  <si>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</si>
  <si>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</si>
  <si>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</si>
  <si>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</si>
  <si>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</si>
  <si>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</si>
  <si>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</si>
  <si>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</si>
  <si>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</si>
  <si>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</si>
  <si>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</si>
  <si>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</si>
  <si>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</si>
  <si>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</si>
  <si>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</si>
  <si>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</si>
  <si>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</si>
  <si>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</si>
  <si>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</si>
  <si>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</si>
  <si>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</si>
  <si>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</si>
  <si>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</si>
  <si>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</si>
  <si>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</si>
  <si>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</si>
  <si>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</si>
  <si>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</si>
  <si>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</si>
  <si>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</si>
  <si>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</si>
  <si>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</si>
  <si>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</si>
  <si>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</si>
  <si>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</si>
  <si>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</si>
  <si>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</si>
  <si>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</si>
  <si>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</si>
  <si>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</si>
  <si>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</si>
  <si>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</si>
  <si>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</si>
  <si>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</si>
  <si>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</si>
  <si>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</si>
  <si>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</si>
  <si>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</si>
  <si>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</si>
  <si>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</si>
  <si>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</si>
  <si>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</si>
  <si>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</si>
  <si>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</si>
  <si>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</si>
  <si>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</si>
  <si>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</si>
  <si>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</si>
  <si>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</si>
  <si>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</si>
  <si>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</si>
  <si>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</si>
  <si>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</si>
  <si>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</si>
  <si>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</si>
  <si>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</si>
  <si>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</si>
  <si>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</si>
  <si>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</si>
  <si>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</si>
  <si>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</si>
  <si>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</si>
  <si>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</si>
  <si>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</si>
  <si>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</si>
  <si>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</si>
  <si>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</si>
  <si>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</si>
  <si>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</si>
  <si>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</si>
  <si>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</si>
  <si>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</si>
  <si>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</si>
  <si>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</si>
  <si>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</si>
  <si>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</si>
  <si>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</si>
  <si>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</si>
  <si>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</si>
  <si>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</si>
  <si>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</si>
  <si>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</si>
  <si>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</si>
  <si>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</si>
  <si>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</si>
  <si>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</si>
  <si>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</si>
  <si>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</si>
  <si>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</si>
  <si>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</si>
  <si>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</si>
  <si>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</si>
  <si>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</si>
  <si>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</si>
  <si>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</si>
  <si>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</si>
  <si>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</si>
  <si>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</si>
  <si>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</si>
  <si>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</si>
  <si>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</si>
  <si>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</si>
  <si>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</si>
  <si>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</si>
  <si>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</si>
  <si>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</si>
  <si>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</si>
  <si>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</si>
  <si>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</si>
  <si>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</si>
  <si>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</si>
  <si>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</si>
  <si>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</si>
  <si>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</si>
  <si>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</si>
  <si>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</si>
  <si>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</si>
  <si>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</si>
  <si>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</si>
  <si>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</si>
  <si>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</si>
  <si>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</si>
  <si>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</si>
  <si>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</si>
  <si>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</si>
  <si>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</si>
  <si>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</si>
  <si>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</si>
  <si>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</si>
  <si>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</si>
  <si>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</si>
  <si>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</si>
  <si>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</si>
  <si>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</si>
  <si>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</si>
  <si>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</si>
  <si>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</si>
  <si>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</si>
  <si>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</si>
  <si>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</si>
  <si>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</si>
  <si>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</si>
  <si>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</si>
  <si>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</si>
  <si>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</si>
  <si>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</si>
  <si>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</si>
  <si>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</si>
  <si>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</si>
  <si>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</si>
  <si>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</si>
  <si>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</si>
  <si>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</si>
  <si>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</si>
  <si>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</si>
  <si>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</si>
  <si>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</si>
  <si>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</si>
  <si>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</si>
  <si>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</si>
  <si>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</si>
  <si>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</si>
  <si>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</si>
  <si>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Inc.</t>
  </si>
  <si>
    <t>HUMANA GRP</t>
  </si>
  <si>
    <t>Humana</t>
  </si>
  <si>
    <t>119</t>
  </si>
  <si>
    <t>2015</t>
  </si>
  <si>
    <t>321 West Main Street, 12th Floor Louisville, KY 40202</t>
  </si>
  <si>
    <t>611013183</t>
  </si>
  <si>
    <t>095885</t>
  </si>
  <si>
    <t>95885</t>
  </si>
  <si>
    <t>49857</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</si>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</sst>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156</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455263</v>
      </c>
      <c r="K5" s="213">
        <f>SUM('Pt 2 Premium and Claims'!K$5,'Pt 2 Premium and Claims'!K$6,-'Pt 2 Premium and Claims'!K$7,-'Pt 2 Premium and Claims'!K$13,'Pt 2 Premium and Claims'!K$14,'Pt 2 Premium and Claims'!K$16:'Pt 2 Premium and Claims'!K$17)</f>
        <v>843681.79000010004</v>
      </c>
      <c r="L5" s="213">
        <f>SUM('Pt 2 Premium and Claims'!L$5,'Pt 2 Premium and Claims'!L$6,-'Pt 2 Premium and Claims'!L$7,-'Pt 2 Premium and Claims'!L$13,'Pt 2 Premium and Claims'!L$14,'Pt 2 Premium and Claims'!L$16:'Pt 2 Premium and Claims'!L$17)</f>
        <v>149286.23000000001</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35641976</v>
      </c>
      <c r="Q5" s="213">
        <f>SUM('Pt 2 Premium and Claims'!Q$5,'Pt 2 Premium and Claims'!Q$6,-'Pt 2 Premium and Claims'!Q$7,-'Pt 2 Premium and Claims'!Q$13,'Pt 2 Premium and Claims'!Q$14)</f>
        <v>38250353.469999999</v>
      </c>
      <c r="R5" s="213">
        <f>SUM('Pt 2 Premium and Claims'!R$5,'Pt 2 Premium and Claims'!R$6,-'Pt 2 Premium and Claims'!R$7,-'Pt 2 Premium and Claims'!R$13,'Pt 2 Premium and Claims'!R$14)</f>
        <v>2574112.8199999998</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v>-2.19</v>
      </c>
      <c r="L7" s="217">
        <v>-2.19</v>
      </c>
      <c r="M7" s="217"/>
      <c r="N7" s="217"/>
      <c r="O7" s="216"/>
      <c r="P7" s="216">
        <v>0</v>
      </c>
      <c r="Q7" s="217">
        <v>-105.58</v>
      </c>
      <c r="R7" s="217">
        <v>-105.58</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-1337</v>
      </c>
      <c r="K8" s="268"/>
      <c r="L8" s="269"/>
      <c r="M8" s="269"/>
      <c r="N8" s="269"/>
      <c r="O8" s="272"/>
      <c r="P8" s="216">
        <v>-42011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534177</v>
      </c>
      <c r="K12" s="213">
        <f>'Pt 2 Premium and Claims'!K$54</f>
        <v>832433.97618542658</v>
      </c>
      <c r="L12" s="213">
        <f>'Pt 2 Premium and Claims'!L$54</f>
        <v>158498.94687427871</v>
      </c>
      <c r="M12" s="213">
        <f>'Pt 2 Premium and Claims'!M$54</f>
        <v>0</v>
      </c>
      <c r="N12" s="213">
        <f>'Pt 2 Premium and Claims'!N$54</f>
        <v>0</v>
      </c>
      <c r="O12" s="212">
        <f>'Pt 2 Premium and Claims'!O$54</f>
        <v>0</v>
      </c>
      <c r="P12" s="212">
        <f>'Pt 2 Premium and Claims'!P$54</f>
        <v>32646274</v>
      </c>
      <c r="Q12" s="213">
        <f>'Pt 2 Premium and Claims'!Q$54</f>
        <v>34322587.386105798</v>
      </c>
      <c r="R12" s="213">
        <f>'Pt 2 Premium and Claims'!R$54</f>
        <v>2433936.0841916045</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c r="F13" s="217"/>
      <c r="G13" s="268"/>
      <c r="H13" s="269"/>
      <c r="I13" s="216"/>
      <c r="J13" s="216">
        <v>38960</v>
      </c>
      <c r="K13" s="217">
        <v>82257.879708796158</v>
      </c>
      <c r="L13" s="217"/>
      <c r="M13" s="268"/>
      <c r="N13" s="269"/>
      <c r="O13" s="216"/>
      <c r="P13" s="216">
        <v>7425950</v>
      </c>
      <c r="Q13" s="217">
        <v>7352470.6102136215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8605</v>
      </c>
      <c r="K14" s="217">
        <v>12646.619073648179</v>
      </c>
      <c r="L14" s="217"/>
      <c r="M14" s="267"/>
      <c r="N14" s="270"/>
      <c r="O14" s="216"/>
      <c r="P14" s="216">
        <v>1177890</v>
      </c>
      <c r="Q14" s="217">
        <v>1171454.5963733357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v>0.14000000000000001</v>
      </c>
      <c r="L15" s="217">
        <v>0.05</v>
      </c>
      <c r="M15" s="267"/>
      <c r="N15" s="273"/>
      <c r="O15" s="216"/>
      <c r="P15" s="216">
        <v>5</v>
      </c>
      <c r="Q15" s="217">
        <v>5.96</v>
      </c>
      <c r="R15" s="217">
        <v>0.85</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48182.54</v>
      </c>
      <c r="Q22" s="222">
        <f>'Pt 2 Premium and Claims'!Q$55</f>
        <v>53477.1</v>
      </c>
      <c r="R22" s="222">
        <f>'Pt 2 Premium and Claims'!R$55</f>
        <v>740.07</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-63689.11</v>
      </c>
      <c r="K25" s="217">
        <v>-43762.186629222269</v>
      </c>
      <c r="L25" s="217">
        <v>19795.84</v>
      </c>
      <c r="M25" s="217"/>
      <c r="N25" s="217"/>
      <c r="O25" s="216"/>
      <c r="P25" s="216">
        <v>-360780.67</v>
      </c>
      <c r="Q25" s="217">
        <v>-409136.81262708048</v>
      </c>
      <c r="R25" s="217">
        <v>-48224.716273807717</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398.64</v>
      </c>
      <c r="K26" s="217">
        <v>480.58</v>
      </c>
      <c r="L26" s="217">
        <v>81.94</v>
      </c>
      <c r="M26" s="217"/>
      <c r="N26" s="217"/>
      <c r="O26" s="216"/>
      <c r="P26" s="216">
        <v>13901.81</v>
      </c>
      <c r="Q26" s="217">
        <v>15401.75</v>
      </c>
      <c r="R26" s="217">
        <v>1499.94</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10633.65</v>
      </c>
      <c r="K27" s="217">
        <v>12929.25</v>
      </c>
      <c r="L27" s="217">
        <v>2295.6</v>
      </c>
      <c r="M27" s="217"/>
      <c r="N27" s="217"/>
      <c r="O27" s="216"/>
      <c r="P27" s="216">
        <v>598916.25</v>
      </c>
      <c r="Q27" s="217">
        <v>642206.94999999995</v>
      </c>
      <c r="R27" s="217">
        <v>43290.7</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1361.5</v>
      </c>
      <c r="K28" s="217">
        <v>1689.65</v>
      </c>
      <c r="L28" s="217">
        <v>328.15</v>
      </c>
      <c r="M28" s="217"/>
      <c r="N28" s="217"/>
      <c r="O28" s="216"/>
      <c r="P28" s="216">
        <v>64949.8</v>
      </c>
      <c r="Q28" s="217">
        <v>74942.22</v>
      </c>
      <c r="R28" s="217">
        <v>9992.42</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-5178.71</v>
      </c>
      <c r="K30" s="217">
        <v>-3579.9999410646601</v>
      </c>
      <c r="L30" s="217">
        <v>1587.08</v>
      </c>
      <c r="M30" s="217"/>
      <c r="N30" s="217"/>
      <c r="O30" s="216"/>
      <c r="P30" s="216">
        <v>-13360.73</v>
      </c>
      <c r="Q30" s="217">
        <v>-15986.016731753039</v>
      </c>
      <c r="R30" s="217">
        <v>-2613.6262425151554</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21762.41</v>
      </c>
      <c r="K31" s="217">
        <v>22592.880000000001</v>
      </c>
      <c r="L31" s="217">
        <v>830.47</v>
      </c>
      <c r="M31" s="217"/>
      <c r="N31" s="217"/>
      <c r="O31" s="216"/>
      <c r="P31" s="216">
        <v>189240.22</v>
      </c>
      <c r="Q31" s="217">
        <v>202440.33</v>
      </c>
      <c r="R31" s="217">
        <v>13200.11</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7818.76</v>
      </c>
      <c r="K34" s="217">
        <v>7818.76</v>
      </c>
      <c r="L34" s="217"/>
      <c r="M34" s="217"/>
      <c r="N34" s="217"/>
      <c r="O34" s="216"/>
      <c r="P34" s="216">
        <v>272317.36</v>
      </c>
      <c r="Q34" s="217">
        <v>272317.36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518.55999999999995</v>
      </c>
      <c r="K35" s="217">
        <v>635.51</v>
      </c>
      <c r="L35" s="217">
        <v>116.95</v>
      </c>
      <c r="M35" s="217"/>
      <c r="N35" s="217"/>
      <c r="O35" s="216"/>
      <c r="P35" s="216">
        <v>19597.03</v>
      </c>
      <c r="Q35" s="217">
        <v>22634.87</v>
      </c>
      <c r="R35" s="217">
        <v>3037.84</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1730</v>
      </c>
      <c r="K37" s="225">
        <v>1873.65</v>
      </c>
      <c r="L37" s="225">
        <v>143.30000000000001</v>
      </c>
      <c r="M37" s="225"/>
      <c r="N37" s="225"/>
      <c r="O37" s="224"/>
      <c r="P37" s="224">
        <v>98658</v>
      </c>
      <c r="Q37" s="225">
        <v>112107.79</v>
      </c>
      <c r="R37" s="225">
        <v>13449.43</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56964</v>
      </c>
      <c r="AW37" s="296"/>
    </row>
    <row r="38" spans="1:49" x14ac:dyDescent="0.2">
      <c r="B38" s="239" t="s">
        <v>254</v>
      </c>
      <c r="C38" s="203" t="s">
        <v>16</v>
      </c>
      <c r="D38" s="216">
        <v>0</v>
      </c>
      <c r="E38" s="217"/>
      <c r="F38" s="217"/>
      <c r="G38" s="217"/>
      <c r="H38" s="217"/>
      <c r="I38" s="216"/>
      <c r="J38" s="216">
        <v>87</v>
      </c>
      <c r="K38" s="217">
        <v>103.86</v>
      </c>
      <c r="L38" s="217">
        <v>17.170000000000002</v>
      </c>
      <c r="M38" s="217"/>
      <c r="N38" s="217"/>
      <c r="O38" s="216"/>
      <c r="P38" s="216">
        <v>14157</v>
      </c>
      <c r="Q38" s="217">
        <v>26363.49</v>
      </c>
      <c r="R38" s="217">
        <v>12206.59</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18048</v>
      </c>
      <c r="AW38" s="297"/>
    </row>
    <row r="39" spans="1:49" x14ac:dyDescent="0.2">
      <c r="B39" s="242" t="s">
        <v>255</v>
      </c>
      <c r="C39" s="203" t="s">
        <v>17</v>
      </c>
      <c r="D39" s="216">
        <v>0</v>
      </c>
      <c r="E39" s="217"/>
      <c r="F39" s="217"/>
      <c r="G39" s="217"/>
      <c r="H39" s="217"/>
      <c r="I39" s="216"/>
      <c r="J39" s="216">
        <v>783</v>
      </c>
      <c r="K39" s="217">
        <v>815.58</v>
      </c>
      <c r="L39" s="217">
        <v>32.369999999999997</v>
      </c>
      <c r="M39" s="217"/>
      <c r="N39" s="217"/>
      <c r="O39" s="216"/>
      <c r="P39" s="216">
        <v>43563</v>
      </c>
      <c r="Q39" s="217">
        <v>46257.81</v>
      </c>
      <c r="R39" s="217">
        <v>2694.68</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734</v>
      </c>
      <c r="AW39" s="297"/>
    </row>
    <row r="40" spans="1:49" x14ac:dyDescent="0.2">
      <c r="B40" s="242" t="s">
        <v>256</v>
      </c>
      <c r="C40" s="203" t="s">
        <v>38</v>
      </c>
      <c r="D40" s="216">
        <v>0</v>
      </c>
      <c r="E40" s="217"/>
      <c r="F40" s="217"/>
      <c r="G40" s="217"/>
      <c r="H40" s="217"/>
      <c r="I40" s="216"/>
      <c r="J40" s="216">
        <v>5631</v>
      </c>
      <c r="K40" s="217">
        <v>5831.41</v>
      </c>
      <c r="L40" s="217">
        <v>200.8</v>
      </c>
      <c r="M40" s="217"/>
      <c r="N40" s="217"/>
      <c r="O40" s="216"/>
      <c r="P40" s="216">
        <v>274361</v>
      </c>
      <c r="Q40" s="217">
        <v>288638.71000000002</v>
      </c>
      <c r="R40" s="217">
        <v>14277.56</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6431</v>
      </c>
      <c r="AW40" s="297"/>
    </row>
    <row r="41" spans="1:49" s="5" customFormat="1" ht="25.5" x14ac:dyDescent="0.2">
      <c r="A41" s="35"/>
      <c r="B41" s="242" t="s">
        <v>257</v>
      </c>
      <c r="C41" s="203" t="s">
        <v>129</v>
      </c>
      <c r="D41" s="216">
        <v>0</v>
      </c>
      <c r="E41" s="217"/>
      <c r="F41" s="217"/>
      <c r="G41" s="217"/>
      <c r="H41" s="217"/>
      <c r="I41" s="216"/>
      <c r="J41" s="216">
        <v>957</v>
      </c>
      <c r="K41" s="217">
        <v>1151.4100000000001</v>
      </c>
      <c r="L41" s="217">
        <v>194.13</v>
      </c>
      <c r="M41" s="217"/>
      <c r="N41" s="217"/>
      <c r="O41" s="216"/>
      <c r="P41" s="216">
        <v>41205</v>
      </c>
      <c r="Q41" s="217">
        <v>45677.57</v>
      </c>
      <c r="R41" s="217">
        <v>4472.6000000000004</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877</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7021</v>
      </c>
      <c r="K44" s="225">
        <v>7910.06</v>
      </c>
      <c r="L44" s="225">
        <v>889.01</v>
      </c>
      <c r="M44" s="225"/>
      <c r="N44" s="225"/>
      <c r="O44" s="224"/>
      <c r="P44" s="224">
        <v>379947</v>
      </c>
      <c r="Q44" s="225">
        <v>404453.76</v>
      </c>
      <c r="R44" s="225">
        <v>24506.73</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v>6359</v>
      </c>
      <c r="AW44" s="296"/>
    </row>
    <row r="45" spans="1:49" x14ac:dyDescent="0.2">
      <c r="B45" s="245" t="s">
        <v>261</v>
      </c>
      <c r="C45" s="203" t="s">
        <v>19</v>
      </c>
      <c r="D45" s="216">
        <v>0</v>
      </c>
      <c r="E45" s="217"/>
      <c r="F45" s="217"/>
      <c r="G45" s="217"/>
      <c r="H45" s="217"/>
      <c r="I45" s="216"/>
      <c r="J45" s="216">
        <v>5024</v>
      </c>
      <c r="K45" s="217">
        <v>5672.09</v>
      </c>
      <c r="L45" s="217">
        <v>648.20000000000005</v>
      </c>
      <c r="M45" s="217"/>
      <c r="N45" s="217"/>
      <c r="O45" s="216"/>
      <c r="P45" s="216">
        <v>243440</v>
      </c>
      <c r="Q45" s="217">
        <v>258260.64</v>
      </c>
      <c r="R45" s="217">
        <v>14820.48</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v>4828</v>
      </c>
      <c r="AW45" s="297"/>
    </row>
    <row r="46" spans="1:49" x14ac:dyDescent="0.2">
      <c r="B46" s="245" t="s">
        <v>262</v>
      </c>
      <c r="C46" s="203" t="s">
        <v>20</v>
      </c>
      <c r="D46" s="216">
        <v>0</v>
      </c>
      <c r="E46" s="217"/>
      <c r="F46" s="217"/>
      <c r="G46" s="217"/>
      <c r="H46" s="217"/>
      <c r="I46" s="216"/>
      <c r="J46" s="216">
        <v>4700</v>
      </c>
      <c r="K46" s="217">
        <v>6020.51</v>
      </c>
      <c r="L46" s="217">
        <v>1320.72</v>
      </c>
      <c r="M46" s="217"/>
      <c r="N46" s="217"/>
      <c r="O46" s="216"/>
      <c r="P46" s="216">
        <v>188851</v>
      </c>
      <c r="Q46" s="217">
        <v>238219.21</v>
      </c>
      <c r="R46" s="217">
        <v>49368.11</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2837</v>
      </c>
      <c r="AW46" s="297"/>
    </row>
    <row r="47" spans="1:49" x14ac:dyDescent="0.2">
      <c r="B47" s="245" t="s">
        <v>263</v>
      </c>
      <c r="C47" s="203" t="s">
        <v>21</v>
      </c>
      <c r="D47" s="216">
        <v>0</v>
      </c>
      <c r="E47" s="217"/>
      <c r="F47" s="217"/>
      <c r="G47" s="217"/>
      <c r="H47" s="217"/>
      <c r="I47" s="216"/>
      <c r="J47" s="216">
        <v>25814</v>
      </c>
      <c r="K47" s="217">
        <v>25936.16</v>
      </c>
      <c r="L47" s="217">
        <v>122.03</v>
      </c>
      <c r="M47" s="217"/>
      <c r="N47" s="217"/>
      <c r="O47" s="216"/>
      <c r="P47" s="216">
        <v>254111</v>
      </c>
      <c r="Q47" s="217">
        <v>257828.42</v>
      </c>
      <c r="R47" s="217">
        <v>3717.75</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8300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-40855.629999999997</v>
      </c>
      <c r="K49" s="217">
        <v>-40288.949999999997</v>
      </c>
      <c r="L49" s="217">
        <v>566.67999999999995</v>
      </c>
      <c r="M49" s="217"/>
      <c r="N49" s="217"/>
      <c r="O49" s="216"/>
      <c r="P49" s="216">
        <v>-231422.61</v>
      </c>
      <c r="Q49" s="217">
        <v>-232773.57</v>
      </c>
      <c r="R49" s="217">
        <v>-1350.96</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43186</v>
      </c>
      <c r="K51" s="217">
        <v>52598.06</v>
      </c>
      <c r="L51" s="217">
        <v>9412.11</v>
      </c>
      <c r="M51" s="217"/>
      <c r="N51" s="217"/>
      <c r="O51" s="216"/>
      <c r="P51" s="216">
        <v>1972026</v>
      </c>
      <c r="Q51" s="217">
        <v>2243331.75</v>
      </c>
      <c r="R51" s="217">
        <v>271305.36</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v>37709</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104</v>
      </c>
      <c r="K56" s="229">
        <v>104</v>
      </c>
      <c r="L56" s="229">
        <v>0</v>
      </c>
      <c r="M56" s="229"/>
      <c r="N56" s="229"/>
      <c r="O56" s="228"/>
      <c r="P56" s="228">
        <v>3520</v>
      </c>
      <c r="Q56" s="229">
        <v>3520</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91</v>
      </c>
      <c r="AW56" s="288"/>
    </row>
    <row r="57" spans="2:49" x14ac:dyDescent="0.2">
      <c r="B57" s="245" t="s">
        <v>272</v>
      </c>
      <c r="C57" s="203" t="s">
        <v>25</v>
      </c>
      <c r="D57" s="231">
        <v>0</v>
      </c>
      <c r="E57" s="232"/>
      <c r="F57" s="232"/>
      <c r="G57" s="232"/>
      <c r="H57" s="232"/>
      <c r="I57" s="231"/>
      <c r="J57" s="231">
        <v>187</v>
      </c>
      <c r="K57" s="232">
        <v>187</v>
      </c>
      <c r="L57" s="232">
        <v>22</v>
      </c>
      <c r="M57" s="232"/>
      <c r="N57" s="232"/>
      <c r="O57" s="231"/>
      <c r="P57" s="231">
        <v>6956</v>
      </c>
      <c r="Q57" s="232">
        <v>6956</v>
      </c>
      <c r="R57" s="232">
        <v>587</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154</v>
      </c>
      <c r="AW57" s="289"/>
    </row>
    <row r="58" spans="2:49" x14ac:dyDescent="0.2">
      <c r="B58" s="245" t="s">
        <v>273</v>
      </c>
      <c r="C58" s="203" t="s">
        <v>26</v>
      </c>
      <c r="D58" s="309"/>
      <c r="E58" s="310"/>
      <c r="F58" s="310"/>
      <c r="G58" s="310"/>
      <c r="H58" s="310"/>
      <c r="I58" s="309"/>
      <c r="J58" s="231">
        <v>17</v>
      </c>
      <c r="K58" s="232">
        <v>17</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2</v>
      </c>
      <c r="AW58" s="289"/>
    </row>
    <row r="59" spans="2:49" x14ac:dyDescent="0.2">
      <c r="B59" s="245" t="s">
        <v>274</v>
      </c>
      <c r="C59" s="203" t="s">
        <v>27</v>
      </c>
      <c r="D59" s="231">
        <v>0</v>
      </c>
      <c r="E59" s="232"/>
      <c r="F59" s="232"/>
      <c r="G59" s="232"/>
      <c r="H59" s="232"/>
      <c r="I59" s="231"/>
      <c r="J59" s="231">
        <v>2189</v>
      </c>
      <c r="K59" s="232">
        <v>2181</v>
      </c>
      <c r="L59" s="232">
        <v>378</v>
      </c>
      <c r="M59" s="232"/>
      <c r="N59" s="232"/>
      <c r="O59" s="231"/>
      <c r="P59" s="231">
        <v>83437</v>
      </c>
      <c r="Q59" s="232">
        <v>83381</v>
      </c>
      <c r="R59" s="232">
        <v>8292</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1724</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182.41666666666666</v>
      </c>
      <c r="K60" s="235">
        <f t="shared" si="0"/>
        <v>181.75</v>
      </c>
      <c r="L60" s="235">
        <f t="shared" si="0"/>
        <v>31.5</v>
      </c>
      <c r="M60" s="235">
        <f t="shared" si="0"/>
        <v>0</v>
      </c>
      <c r="N60" s="235">
        <f t="shared" si="0"/>
        <v>0</v>
      </c>
      <c r="O60" s="234">
        <f t="shared" si="0"/>
        <v>0</v>
      </c>
      <c r="P60" s="234">
        <f t="shared" si="0"/>
        <v>6953.083333333333</v>
      </c>
      <c r="Q60" s="235">
        <f t="shared" si="0"/>
        <v>6948.416666666667</v>
      </c>
      <c r="R60" s="235">
        <f t="shared" si="0"/>
        <v>691</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143.66666666666666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455263</v>
      </c>
      <c r="K5" s="326">
        <v>806009.5000001</v>
      </c>
      <c r="L5" s="326">
        <v>149286.23000000001</v>
      </c>
      <c r="M5" s="326"/>
      <c r="N5" s="326"/>
      <c r="O5" s="325"/>
      <c r="P5" s="325">
        <v>35641976</v>
      </c>
      <c r="Q5" s="326">
        <v>38250353.469999999</v>
      </c>
      <c r="R5" s="326">
        <v>2574112.8199999998</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v>0</v>
      </c>
      <c r="M10" s="319"/>
      <c r="N10" s="319"/>
      <c r="O10" s="318"/>
      <c r="P10" s="365"/>
      <c r="Q10" s="319">
        <v>0</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37672.29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354973</v>
      </c>
      <c r="K23" s="362"/>
      <c r="L23" s="362"/>
      <c r="M23" s="362"/>
      <c r="N23" s="362"/>
      <c r="O23" s="364"/>
      <c r="P23" s="318">
        <v>32625947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v>835497.22</v>
      </c>
      <c r="L24" s="319">
        <v>200371.15</v>
      </c>
      <c r="M24" s="319"/>
      <c r="N24" s="319"/>
      <c r="O24" s="318"/>
      <c r="P24" s="365"/>
      <c r="Q24" s="319">
        <v>35175076.210000001</v>
      </c>
      <c r="R24" s="319">
        <v>2096725.57</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273084</v>
      </c>
      <c r="K26" s="362"/>
      <c r="L26" s="362"/>
      <c r="M26" s="362"/>
      <c r="N26" s="362"/>
      <c r="O26" s="364"/>
      <c r="P26" s="318">
        <v>3146430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v>10004.223000060047</v>
      </c>
      <c r="L27" s="319">
        <v>4725.9902000000002</v>
      </c>
      <c r="M27" s="319"/>
      <c r="N27" s="319"/>
      <c r="O27" s="318"/>
      <c r="P27" s="365"/>
      <c r="Q27" s="319">
        <v>311689.06782002992</v>
      </c>
      <c r="R27" s="319">
        <v>46324.023399999998</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149279</v>
      </c>
      <c r="K28" s="363"/>
      <c r="L28" s="363"/>
      <c r="M28" s="363"/>
      <c r="N28" s="363"/>
      <c r="O28" s="365"/>
      <c r="P28" s="318">
        <v>2882045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56</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-599.35</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656</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v>0</v>
      </c>
      <c r="M39" s="319"/>
      <c r="N39" s="319"/>
      <c r="O39" s="318"/>
      <c r="P39" s="365"/>
      <c r="Q39" s="319">
        <v>0</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446</v>
      </c>
      <c r="K45" s="319"/>
      <c r="L45" s="319"/>
      <c r="M45" s="319"/>
      <c r="N45" s="319"/>
      <c r="O45" s="318"/>
      <c r="P45" s="318">
        <v>1517</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446</v>
      </c>
      <c r="K47" s="363"/>
      <c r="L47" s="363"/>
      <c r="M47" s="363"/>
      <c r="N47" s="363"/>
      <c r="O47" s="365"/>
      <c r="P47" s="318">
        <v>1517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2675</v>
      </c>
      <c r="K49" s="319">
        <v>12646.619073648179</v>
      </c>
      <c r="L49" s="319"/>
      <c r="M49" s="319"/>
      <c r="N49" s="319"/>
      <c r="O49" s="318"/>
      <c r="P49" s="318">
        <v>343147</v>
      </c>
      <c r="Q49" s="319">
        <v>1171454.5963733357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58674</v>
      </c>
      <c r="K50" s="363"/>
      <c r="L50" s="363"/>
      <c r="M50" s="363"/>
      <c r="N50" s="363"/>
      <c r="O50" s="365"/>
      <c r="P50" s="318">
        <v>99089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178.50225901464927</v>
      </c>
      <c r="L53" s="319">
        <v>-46598.193325721273</v>
      </c>
      <c r="M53" s="319"/>
      <c r="N53" s="319"/>
      <c r="O53" s="318"/>
      <c r="P53" s="318">
        <v>0</v>
      </c>
      <c r="Q53" s="319">
        <v>7276.7046591019234</v>
      </c>
      <c r="R53" s="319">
        <v>290886.49079160439</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534177</v>
      </c>
      <c r="K54" s="323">
        <f>K24+K27+K31+K35-K36+K39+K42+K45+K46-K49+K51+K52+K53</f>
        <v>832433.97618542658</v>
      </c>
      <c r="L54" s="323">
        <f>L24+L27+L31+L35-L36+L39+L42+L45+L46-L49+L51+L52+L53</f>
        <v>158498.94687427871</v>
      </c>
      <c r="M54" s="323">
        <f>M24+M27+M31+M35-M36+M39+M42+M45+M46-M49+M51+M52+M53</f>
        <v>0</v>
      </c>
      <c r="N54" s="323">
        <f>N24+N27+N31+N35-N36+N39+N42+N45+N46-N49+N51+N52+N53</f>
        <v>0</v>
      </c>
      <c r="O54" s="322">
        <f>O24+O27+O31+O35-O36+O39+O42+O45+O46-O49+O51+O52+O53</f>
        <v>0</v>
      </c>
      <c r="P54" s="322">
        <f>P23+P26-P28+P30-P32+P34-P36+P38+P41-P43+P45+P46-P47-P49+P50+P51+P52+P53</f>
        <v>32646274</v>
      </c>
      <c r="Q54" s="323">
        <f>Q24+Q27+Q31+Q35-Q36+Q39+Q42+Q45+Q46-Q49+Q51+Q52+Q53</f>
        <v>34322587.386105798</v>
      </c>
      <c r="R54" s="323">
        <f>R24+R27+R31+R35-R36+R39+R42+R45+R46-R49+R51+R52+R53</f>
        <v>2433936.0841916045</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48182.54</v>
      </c>
      <c r="Q55" s="323">
        <f t="shared" si="0"/>
        <v>53477.1</v>
      </c>
      <c r="R55" s="323">
        <f t="shared" si="0"/>
        <v>740.07</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1006.83</v>
      </c>
      <c r="K56" s="319">
        <v>1223.43</v>
      </c>
      <c r="L56" s="319">
        <v>216.6</v>
      </c>
      <c r="M56" s="319"/>
      <c r="N56" s="319"/>
      <c r="O56" s="318"/>
      <c r="P56" s="318">
        <v>48182.54</v>
      </c>
      <c r="Q56" s="319">
        <v>53477.1</v>
      </c>
      <c r="R56" s="319">
        <v>5294.56</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78301</v>
      </c>
      <c r="Q57" s="319">
        <v>79041.03</v>
      </c>
      <c r="R57" s="319">
        <v>740.07</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328363.76</v>
      </c>
      <c r="I5" s="403">
        <v>442275.95</v>
      </c>
      <c r="J5" s="454"/>
      <c r="K5" s="454"/>
      <c r="L5" s="448"/>
      <c r="M5" s="402">
        <v>29254084.530000001</v>
      </c>
      <c r="N5" s="403">
        <v>31740394.100000001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328068.7914359367</v>
      </c>
      <c r="I6" s="398">
        <v>439703.45182300359</v>
      </c>
      <c r="J6" s="400">
        <f>SUM('Pt 1 Summary of Data'!K$12,'Pt 1 Summary of Data'!K$22)+SUM('Pt 1 Summary of Data'!M$12,'Pt 1 Summary of Data'!M$22)-SUM('Pt 1 Summary of Data'!N$12,'Pt 1 Summary of Data'!N$22)</f>
        <v>832433.97618542658</v>
      </c>
      <c r="K6" s="400">
        <f>SUM(H6:J6)</f>
        <v>1600206.2194443669</v>
      </c>
      <c r="L6" s="401">
        <f>SUM('Pt 1 Summary of Data'!O$12,'Pt 1 Summary of Data'!O$22)</f>
        <v>0</v>
      </c>
      <c r="M6" s="397">
        <v>29236385.098640941</v>
      </c>
      <c r="N6" s="398">
        <v>31925123.894494206</v>
      </c>
      <c r="O6" s="400">
        <f>SUM('Pt 1 Summary of Data'!Q$12,'Pt 1 Summary of Data'!Q$22)+SUM('Pt 1 Summary of Data'!S$12,'Pt 1 Summary of Data'!S$22)-SUM('Pt 1 Summary of Data'!T$12,'Pt 1 Summary of Data'!T$22)</f>
        <v>34376064.4861058</v>
      </c>
      <c r="P6" s="400">
        <f>SUM(M6:O6)</f>
        <v>95537573.479240954</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10687.31</v>
      </c>
      <c r="I7" s="398">
        <v>16245.84</v>
      </c>
      <c r="J7" s="400">
        <f>SUM('Pt 1 Summary of Data'!K$37:K$41)+SUM('Pt 1 Summary of Data'!M$37:M$41)-SUM('Pt 1 Summary of Data'!N$37:N$41)+MAX(0,MIN('Pt 1 Summary of Data'!K$42+'Pt 1 Summary of Data'!M$42-'Pt 1 Summary of Data'!N$42,0.3%*('Pt 1 Summary of Data'!K$5+'Pt 1 Summary of Data'!M$5-'Pt 1 Summary of Data'!N$5-SUM(J$10:J$11))))</f>
        <v>9775.91</v>
      </c>
      <c r="K7" s="400">
        <f>SUM(H7:J7)</f>
        <v>36709.06</v>
      </c>
      <c r="L7" s="401">
        <f>SUM('Pt 1 Summary of Data'!O$37:O$41)+MAX(0,MIN(VALUE('Pt 1 Summary of Data'!O$42),0.3%*('Pt 1 Summary of Data'!O$5-L$10)))</f>
        <v>0</v>
      </c>
      <c r="M7" s="397">
        <v>472428.4</v>
      </c>
      <c r="N7" s="398">
        <v>657150.55000000005</v>
      </c>
      <c r="O7" s="400">
        <f>SUM('Pt 1 Summary of Data'!Q$37:Q$41)+SUM('Pt 1 Summary of Data'!S$37:S$41)-SUM('Pt 1 Summary of Data'!T$37:T$41)+MAX(0,MIN('Pt 1 Summary of Data'!Q$42+'Pt 1 Summary of Data'!S$42-'Pt 1 Summary of Data'!T$42,0.3%*('Pt 1 Summary of Data'!Q$5+'Pt 1 Summary of Data'!S$5-'Pt 1 Summary of Data'!T$5)))</f>
        <v>519045.37000000005</v>
      </c>
      <c r="P7" s="400">
        <f>SUM(M7:O7)</f>
        <v>1648624.3200000003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-125193.09</v>
      </c>
      <c r="J10" s="400">
        <f>'Pt 2 Premium and Claims'!K$16+'Pt 2 Premium and Claims'!M$16-'Pt 2 Premium and Claims'!N$16</f>
        <v>37672.29</v>
      </c>
      <c r="K10" s="400">
        <f>SUM(H10:J10)</f>
        <v>-87520.799999999988</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338756.1014359367</v>
      </c>
      <c r="I12" s="400">
        <f>SUM(I$6:I$7) - SUM(I$10:I$11)+IF(AND(OR('Company Information'!$C$12="District of Columbia",'Company Information'!$C$12="Massachusetts",'Company Information'!$C$12="Vermont"),SUM($H$6:$K$11,$H$15:$K$16,$H$38:$I$38)&lt;&gt;0),SUM(D$6:D$7) - SUM(D$8:D$11),0)</f>
        <v>581142.38182300364</v>
      </c>
      <c r="J12" s="400">
        <f>SUM(J$6:J$7)-SUM(J$10:J$11)+IF(AND(OR('Company Information'!$C$12="District of Columbia",'Company Information'!$C$12="Massachusetts",'Company Information'!$C$12="Vermont"),SUM($H$6:$K$11,$H$15:$K$16,$H$38:$I$38)&lt;&gt;0),SUM(E$6:E$7)-SUM(E$8:E$11),0)</f>
        <v>804537.59618542658</v>
      </c>
      <c r="K12" s="400">
        <f>IFERROR(SUM(H$12:J$12)+H$17*MAX(0,J$50-H$50)+I$17*MAX(0,J$50-I$50),0)</f>
        <v>1724436.079444367</v>
      </c>
      <c r="L12" s="447"/>
      <c r="M12" s="399">
        <f>SUM(M$6:M$7)</f>
        <v>29708813.49864094</v>
      </c>
      <c r="N12" s="400">
        <f>SUM(N$6:N$7)</f>
        <v>32582274.444494206</v>
      </c>
      <c r="O12" s="400">
        <f>SUM(O$6:O$7)</f>
        <v>34895109.856105797</v>
      </c>
      <c r="P12" s="400">
        <f>SUM(M$12:O$12)+M$17*MAX(0,O$50-M$50)+N$17*MAX(0,O$50-N$50)</f>
        <v>97186197.799240947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513319.93</v>
      </c>
      <c r="I15" s="403">
        <v>912019.02</v>
      </c>
      <c r="J15" s="395">
        <f>SUM('Pt 1 Summary of Data'!K$5:K$7)+SUM('Pt 1 Summary of Data'!M$5:M$7)-SUM('Pt 1 Summary of Data'!N$5:N$7)-SUM(J$10:J$11)</f>
        <v>806007.31000010006</v>
      </c>
      <c r="K15" s="395">
        <f>SUM(H15:J15)</f>
        <v>2231346.2600000999</v>
      </c>
      <c r="L15" s="396">
        <f>SUM('Pt 1 Summary of Data'!O$5:O$7)-L$10</f>
        <v>0</v>
      </c>
      <c r="M15" s="402">
        <v>35659513.229999997</v>
      </c>
      <c r="N15" s="403">
        <v>33267551.07</v>
      </c>
      <c r="O15" s="395">
        <f>SUM('Pt 1 Summary of Data'!Q$5:Q$7)+SUM('Pt 1 Summary of Data'!S$5:S$7)-SUM('Pt 1 Summary of Data'!T$5:T$7)+N$56</f>
        <v>38250247.890000001</v>
      </c>
      <c r="P15" s="395">
        <f>SUM(M15:O15)</f>
        <v>107177312.19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16281.95</v>
      </c>
      <c r="I16" s="398">
        <v>164995.04999999999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-1195.556570286928</v>
      </c>
      <c r="K16" s="400">
        <f>SUM(H16:J16)</f>
        <v>180081.44342971308</v>
      </c>
      <c r="L16" s="401">
        <f>SUM('Pt 1 Summary of Data'!O$25:O$28,'Pt 1 Summary of Data'!O$30,'Pt 1 Summary of Data'!O$34:O$35)+IF('Company Information'!$C$15="No",IF(MAX('Pt 1 Summary of Data'!O$31:O$32)=0,MIN('Pt 1 Summary of Data'!O$31:O$32),MAX('Pt 1 Summary of Data'!O$31:O$32)),SUM('Pt 1 Summary of Data'!O$31:O$32))</f>
        <v>0</v>
      </c>
      <c r="M16" s="397">
        <v>868208.35</v>
      </c>
      <c r="N16" s="398">
        <v>-343460.11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804820.65064116637</v>
      </c>
      <c r="P16" s="400">
        <f>SUM(M16:O16)</f>
        <v>1329568.8906411664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497037.98</v>
      </c>
      <c r="I17" s="400">
        <f>I$15-I$16+IF(AND(OR('Company Information'!$C$12="District of Columbia",'Company Information'!$C$12="Massachusetts",'Company Information'!$C$12="Vermont"),SUM($H$6:$K$11,$H$15:$K$16,$H$38:$I$38)&lt;&gt;0),D$15-D$16,0)</f>
        <v>747023.97</v>
      </c>
      <c r="J17" s="400">
        <f>J$15-J$16+IF(AND(OR('Company Information'!$C$12="District of Columbia",'Company Information'!$C$12="Massachusetts",'Company Information'!$C$12="Vermont"),SUM($H$6:$K$11,$H$15:$K$16,$H$38:$I$38)&lt;&gt;0),E$15-E$16,0)</f>
        <v>807202.86657038704</v>
      </c>
      <c r="K17" s="400">
        <f>K$15-K$16+IF(AND(OR('Company Information'!$C$12="District of Columbia",'Company Information'!$C$12="Massachusetts",'Company Information'!$C$12="Vermont"),SUM($H$6:$K$11,$H$15:$K$16,$H$38:$I$38)&lt;&gt;0),F$15-F$16,0)</f>
        <v>2051264.8165703868</v>
      </c>
      <c r="L17" s="450"/>
      <c r="M17" s="399">
        <f>M$15-M$16</f>
        <v>34791304.879999995</v>
      </c>
      <c r="N17" s="400">
        <f>N$15-N$16</f>
        <v>33611011.18</v>
      </c>
      <c r="O17" s="400">
        <f>O$15-O$16</f>
        <v>37445427.239358835</v>
      </c>
      <c r="P17" s="400">
        <f>P$15-P$16</f>
        <v>105847743.29935883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125</v>
      </c>
      <c r="I38" s="405">
        <v>207.42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181.75</v>
      </c>
      <c r="K38" s="432">
        <f>SUM(H$38:J$38)+IF(AND(OR('Company Information'!$C$12="District of Columbia",'Company Information'!$C$12="Massachusetts",'Company Information'!$C$12="Vermont"),SUM($H$6:$K$11,$H$15:$K$16,$H$38:$I$38)&lt;&gt;0,SUM(H$38:I$38)&lt;&gt;SUM(C$38:D$38)),SUM(C$38:D$38),0)</f>
        <v>514.16999999999996</v>
      </c>
      <c r="L38" s="448"/>
      <c r="M38" s="404">
        <v>6581</v>
      </c>
      <c r="N38" s="405">
        <v>6294.42</v>
      </c>
      <c r="O38" s="432">
        <f>('Pt 1 Summary of Data'!Q$59+'Pt 1 Summary of Data'!S$59-'Pt 1 Summary of Data'!T$59)/12</f>
        <v>6948.416666666667</v>
      </c>
      <c r="P38" s="432">
        <f>SUM(M$38:O$38)</f>
        <v>19823.836666666666</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1.9450775555555556E-2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1342</v>
      </c>
      <c r="L40" s="447"/>
      <c r="M40" s="443"/>
      <c r="N40" s="441"/>
      <c r="O40" s="441"/>
      <c r="P40" s="398">
        <v>1631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 ca="1">IF(OR(P$38&lt;1000,P$38&gt;=75000),0,P$39*P$41)</f>
        <v>1.9450775555555556E-2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f>IF(OR(M$38&lt;1000,M$17&lt;=0),"",M$12/M$17)</f>
        <v>0.85391489629695494</v>
      </c>
      <c r="N45" s="436">
        <f>IF(OR(N$38&lt;1000,N$17&lt;=0),"",N$12/N$17)</f>
        <v>0.96939286562976312</v>
      </c>
      <c r="O45" s="436">
        <f>IF(OR(O$38&lt;1000,O$17&lt;=0),"",O$12/O$17)</f>
        <v>0.93189242128415606</v>
      </c>
      <c r="P45" s="436">
        <f>IF(OR(P$38&lt;1000,P$17&lt;=0),"",P$12/P$17)</f>
        <v>0.91816976696781072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f ca="1">IF(P$45="","",P$42)</f>
        <v>1.9450775555555556E-2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f ca="1">IF(P$45="","",ROUND(P$45+MAX(0,P$47),3))</f>
        <v>0.93799999999999994</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f ca="1">P$48</f>
        <v>0.93799999999999994</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f>IF(P$38&lt;1000,"",MAX(0,O$15-O$16))</f>
        <v>37445427.239358835</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104</v>
      </c>
      <c r="E4" s="104">
        <f>'Pt 1 Summary of Data'!$Q$56+'Pt 1 Summary of Data'!$S$56-'Pt 1 Summary of Data'!$T$56</f>
        <v>3520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