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P42" i="10"/>
  <c r="AB41" i="10"/>
  <c r="X41" i="10"/>
  <c r="T41" i="10"/>
  <c r="P41" i="10"/>
  <c r="K41" i="10"/>
  <c r="F41"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3" i="10" s="1"/>
  <c r="S15" i="10"/>
  <c r="P15" i="10"/>
  <c r="O15" i="10"/>
  <c r="L15" i="10"/>
  <c r="AA13" i="10"/>
  <c r="Z13" i="10"/>
  <c r="Y13" i="10"/>
  <c r="W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X22" i="4" s="1"/>
  <c r="W55" i="18"/>
  <c r="V55" i="18"/>
  <c r="U55" i="18"/>
  <c r="T55" i="18"/>
  <c r="S55" i="18"/>
  <c r="R55" i="18"/>
  <c r="Q55" i="18"/>
  <c r="P55" i="18"/>
  <c r="P22" i="4" s="1"/>
  <c r="O55" i="18"/>
  <c r="N55" i="18"/>
  <c r="M55" i="18"/>
  <c r="L55" i="18"/>
  <c r="K55" i="18"/>
  <c r="J55" i="18"/>
  <c r="J22" i="4" s="1"/>
  <c r="I55" i="18"/>
  <c r="H55" i="18"/>
  <c r="G55" i="18"/>
  <c r="F55" i="18"/>
  <c r="E55" i="18"/>
  <c r="D55" i="18"/>
  <c r="D22" i="4" s="1"/>
  <c r="AU54" i="18"/>
  <c r="AU12" i="4" s="1"/>
  <c r="AT54" i="18"/>
  <c r="AS54" i="18"/>
  <c r="AS12" i="4" s="1"/>
  <c r="AC54" i="18"/>
  <c r="AC12" i="4" s="1"/>
  <c r="AB54" i="18"/>
  <c r="AB12" i="4" s="1"/>
  <c r="AA54" i="18"/>
  <c r="AA12" i="4" s="1"/>
  <c r="Z54" i="18"/>
  <c r="Y54" i="18"/>
  <c r="Y12" i="4" s="1"/>
  <c r="X54" i="18"/>
  <c r="X12" i="4" s="1"/>
  <c r="W54" i="18"/>
  <c r="W12" i="4" s="1"/>
  <c r="V54" i="18"/>
  <c r="V12" i="4" s="1"/>
  <c r="U54" i="18"/>
  <c r="T54" i="18"/>
  <c r="S54" i="18"/>
  <c r="R54" i="18"/>
  <c r="Q54" i="18"/>
  <c r="P54" i="18"/>
  <c r="O54" i="18"/>
  <c r="N54" i="18"/>
  <c r="M54" i="18"/>
  <c r="L54" i="18"/>
  <c r="K54" i="18"/>
  <c r="J54" i="18"/>
  <c r="I54" i="18"/>
  <c r="H54" i="18"/>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W22" i="4"/>
  <c r="V22" i="4"/>
  <c r="U22" i="4"/>
  <c r="T22" i="4"/>
  <c r="S22" i="4"/>
  <c r="R22" i="4"/>
  <c r="Q22" i="4"/>
  <c r="O22" i="4"/>
  <c r="N22" i="4"/>
  <c r="M22" i="4"/>
  <c r="L22" i="4"/>
  <c r="K22" i="4"/>
  <c r="I22" i="4"/>
  <c r="H22" i="4"/>
  <c r="G22" i="4"/>
  <c r="F22" i="4"/>
  <c r="E22" i="4"/>
  <c r="AT12" i="4"/>
  <c r="Z12" i="4"/>
  <c r="U12" i="4"/>
  <c r="T12" i="4"/>
  <c r="S12" i="4"/>
  <c r="R12" i="4"/>
  <c r="Q12" i="4"/>
  <c r="P12" i="4"/>
  <c r="O12" i="4"/>
  <c r="N12" i="4"/>
  <c r="M12" i="4"/>
  <c r="L12" i="4"/>
  <c r="K12" i="4"/>
  <c r="J12" i="4"/>
  <c r="I12" i="4"/>
  <c r="H12" i="4"/>
  <c r="G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J7" i="10"/>
  <c r="K7" i="10" s="1"/>
  <c r="L30" i="10"/>
  <c r="L31" i="10" s="1"/>
  <c r="J15" i="10"/>
  <c r="K15" i="10" s="1"/>
  <c r="F15" i="10"/>
  <c r="G7" i="10"/>
  <c r="G27" i="10" s="1"/>
  <c r="E7" i="10"/>
  <c r="P47" i="10"/>
  <c r="P48" i="10" s="1"/>
  <c r="P51" i="10" s="1"/>
  <c r="P53" i="10" s="1"/>
  <c r="E11" i="16" s="1"/>
  <c r="L29" i="10"/>
  <c r="L33" i="10" s="1"/>
  <c r="L34" i="10" s="1"/>
  <c r="AB39" i="10"/>
  <c r="X39" i="10"/>
  <c r="L21" i="10"/>
  <c r="L26" i="10" s="1"/>
  <c r="L25" i="10" s="1"/>
  <c r="L28" i="10" s="1"/>
  <c r="AB13" i="10"/>
  <c r="X13" i="10"/>
  <c r="T13" i="10"/>
  <c r="V13" i="10"/>
  <c r="U13" i="10"/>
  <c r="R13" i="10"/>
  <c r="G24" i="10" l="1"/>
  <c r="H12" i="10"/>
  <c r="K17" i="10"/>
  <c r="J38" i="10"/>
  <c r="I12" i="10"/>
  <c r="I17" i="10"/>
  <c r="J12" i="10"/>
  <c r="F7" i="10"/>
  <c r="E17" i="10" s="1"/>
  <c r="G32" i="10"/>
  <c r="G19" i="10"/>
  <c r="G20" i="10"/>
  <c r="J17" i="10"/>
  <c r="H17" i="10"/>
  <c r="H45" i="10" s="1"/>
  <c r="G23" i="10"/>
  <c r="D17" i="10" l="1"/>
  <c r="E38" i="10"/>
  <c r="K12" i="10"/>
  <c r="G22" i="10"/>
  <c r="C12" i="10"/>
  <c r="D12" i="10"/>
  <c r="D45" i="10" s="1"/>
  <c r="E12" i="10"/>
  <c r="E45" i="10" s="1"/>
  <c r="F38" i="10"/>
  <c r="I45" i="10"/>
  <c r="J45" i="10"/>
  <c r="K38" i="10"/>
  <c r="K45" i="10" s="1"/>
  <c r="C17" i="10"/>
  <c r="C45" i="10" s="1"/>
  <c r="F17" i="10"/>
  <c r="F52" i="10" l="1"/>
  <c r="F39" i="10"/>
  <c r="F42" i="10" s="1"/>
  <c r="F12" i="10"/>
  <c r="F45" i="10" s="1"/>
  <c r="K52" i="10"/>
  <c r="K42" i="10"/>
  <c r="K47" i="10" s="1"/>
  <c r="K48" i="10" s="1"/>
  <c r="K51" i="10" s="1"/>
  <c r="K39" i="10"/>
  <c r="G21" i="10"/>
  <c r="G26" i="10" s="1"/>
  <c r="G25" i="10" s="1"/>
  <c r="G28" i="10" s="1"/>
  <c r="G30" i="10"/>
  <c r="G31" i="10" s="1"/>
  <c r="G29" i="10" s="1"/>
  <c r="G33" i="10" s="1"/>
  <c r="G34" i="10" s="1"/>
  <c r="K53" i="10" l="1"/>
  <c r="D11" i="16" s="1"/>
  <c r="F47" i="10"/>
  <c r="F48" i="10" s="1"/>
  <c r="F51" i="10" s="1"/>
  <c r="F53" i="10" s="1"/>
  <c r="C11" i="16" s="1"/>
</calcChain>
</file>

<file path=xl/sharedStrings.xml><?xml version="1.0" encoding="utf-8"?>
<sst xmlns="http://schemas.openxmlformats.org/spreadsheetml/2006/main" count="574" uniqueCount="513">
  <si>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</si>
  <si>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</si>
  <si>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</si>
  <si>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</si>
  <si>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</si>
  <si>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</si>
  <si>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</si>
  <si>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</si>
  <si>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</si>
  <si>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</si>
  <si>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</si>
  <si>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</si>
  <si>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</si>
  <si>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</si>
  <si>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</si>
  <si>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</si>
  <si>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</si>
  <si>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</si>
  <si>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</si>
  <si>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</si>
  <si>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</si>
  <si>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</si>
  <si>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</si>
  <si>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</si>
  <si>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</si>
  <si>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</si>
  <si>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</si>
  <si>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</si>
  <si>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</si>
  <si>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</si>
  <si>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</si>
  <si>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</si>
  <si>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</si>
  <si>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</si>
  <si>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</si>
  <si>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</si>
  <si>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</si>
  <si>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</si>
  <si>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</si>
  <si>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</si>
  <si>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</si>
  <si>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</si>
  <si>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</si>
  <si>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</si>
  <si>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</si>
  <si>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</si>
  <si>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</si>
  <si>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</si>
  <si>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</si>
  <si>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</si>
  <si>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</si>
  <si>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</si>
  <si>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</si>
  <si>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</si>
  <si>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</si>
  <si>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</si>
  <si>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</si>
  <si>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</si>
  <si>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</si>
  <si>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</si>
  <si>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</si>
  <si>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</si>
  <si>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</si>
  <si>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</si>
  <si>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</si>
  <si>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</si>
  <si>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</si>
  <si>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</si>
  <si>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</si>
  <si>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</si>
  <si>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</si>
  <si>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</si>
  <si>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</si>
  <si>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</si>
  <si>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</si>
  <si>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</si>
  <si>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</si>
  <si>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</si>
  <si>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</si>
  <si>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</si>
  <si>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</si>
  <si>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</si>
  <si>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</si>
  <si>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</si>
  <si>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</si>
  <si>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</si>
  <si>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</si>
  <si>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</si>
  <si>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</si>
  <si>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</si>
  <si>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</si>
  <si>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</si>
  <si>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</si>
  <si>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</si>
  <si>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</si>
  <si>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</si>
  <si>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</si>
  <si>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</si>
  <si>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</si>
  <si>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</si>
  <si>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</si>
  <si>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</si>
  <si>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</si>
  <si>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</si>
  <si>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</si>
  <si>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</si>
  <si>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</si>
  <si>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</si>
  <si>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</si>
  <si>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</si>
  <si>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</si>
  <si>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</si>
  <si>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</si>
  <si>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</si>
  <si>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</si>
  <si>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</si>
  <si>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</si>
  <si>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</si>
  <si>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</si>
  <si>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</si>
  <si>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</si>
  <si>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</si>
  <si>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</si>
  <si>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</si>
  <si>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</si>
  <si>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</si>
  <si>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</si>
  <si>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</si>
  <si>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</si>
  <si>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</si>
  <si>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</si>
  <si>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</si>
  <si>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</si>
  <si>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</si>
  <si>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</si>
  <si>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</si>
  <si>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</si>
  <si>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</si>
  <si>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</si>
  <si>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</si>
  <si>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</si>
  <si>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</si>
  <si>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</si>
  <si>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</si>
  <si>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</si>
  <si>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</si>
  <si>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</si>
  <si>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</si>
  <si>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</si>
  <si>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</si>
  <si>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</si>
  <si>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</si>
  <si>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</si>
  <si>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</si>
  <si>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</si>
  <si>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</si>
  <si>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</si>
  <si>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</si>
  <si>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</si>
  <si>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</si>
  <si>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</si>
  <si>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</si>
  <si>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</si>
  <si>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</si>
  <si>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</si>
  <si>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</si>
  <si>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</si>
  <si>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</si>
  <si>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</si>
  <si>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</si>
  <si>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</si>
  <si>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</si>
  <si>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</si>
  <si>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</si>
  <si>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</si>
  <si>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</si>
  <si>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</si>
  <si>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</si>
  <si>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</si>
  <si>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</si>
  <si>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</si>
  <si>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</si>
  <si>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</si>
  <si>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</si>
  <si>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</si>
  <si>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</si>
  <si>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</si>
  <si>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</si>
  <si>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</si>
  <si>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</si>
  <si>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</si>
  <si>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</si>
  <si>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</si>
  <si>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</si>
  <si>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</si>
  <si>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</si>
  <si>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</si>
  <si>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</si>
  <si>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</si>
  <si>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</si>
  <si>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</si>
  <si>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</si>
  <si>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</si>
  <si>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</si>
  <si>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</si>
  <si>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</si>
  <si>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</si>
  <si>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</si>
  <si>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</si>
  <si>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</si>
  <si>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</si>
  <si>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</si>
  <si>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</si>
  <si>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</si>
  <si>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</si>
  <si>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</si>
  <si>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</si>
  <si>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</si>
  <si>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</si>
  <si>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</si>
  <si>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</si>
  <si>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</si>
  <si>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</si>
  <si>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</si>
  <si>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</si>
  <si>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</si>
  <si>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</si>
  <si>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</si>
  <si>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</si>
  <si>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</si>
  <si>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</si>
  <si>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</si>
  <si>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</si>
  <si>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</si>
  <si>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</si>
  <si>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</si>
  <si>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</si>
  <si>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</si>
  <si>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</si>
  <si>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</si>
  <si>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</si>
  <si>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</si>
  <si>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</si>
  <si>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</si>
  <si>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</si>
  <si>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</si>
  <si>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</si>
  <si>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</si>
  <si>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</si>
  <si>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</si>
  <si>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</si>
  <si>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</si>
  <si>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</si>
  <si>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</si>
  <si>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</si>
  <si>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</si>
  <si>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</si>
  <si>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</si>
  <si>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</si>
  <si>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</si>
  <si>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</si>
  <si>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</si>
  <si>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</si>
  <si>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</si>
  <si>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</si>
  <si>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</si>
  <si>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</si>
  <si>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</si>
  <si>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</si>
  <si>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</si>
  <si>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</si>
  <si>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</si>
  <si>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</si>
  <si>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</si>
  <si>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</si>
  <si>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</si>
  <si>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</si>
  <si>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</si>
  <si>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</si>
  <si>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</si>
  <si>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</si>
  <si>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</si>
  <si>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</si>
  <si>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</si>
  <si>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</si>
  <si>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</si>
  <si>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</si>
  <si>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</si>
  <si>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</si>
  <si>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</si>
  <si>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</si>
  <si>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</si>
  <si>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</si>
  <si>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</si>
  <si>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</si>
  <si>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</si>
  <si>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</si>
  <si>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</si>
  <si>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</si>
  <si>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</si>
  <si>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</si>
  <si>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</si>
  <si>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</si>
  <si>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</si>
  <si>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</si>
  <si>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</si>
  <si>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</si>
  <si>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</si>
  <si>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</si>
  <si>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</si>
  <si>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</si>
  <si>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</si>
  <si>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</si>
  <si>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</si>
  <si>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</si>
  <si>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</si>
  <si>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</si>
  <si>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</si>
  <si>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</si>
  <si>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</si>
  <si>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</si>
  <si>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</si>
  <si>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</si>
  <si>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</si>
  <si>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</si>
  <si>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</si>
  <si>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</si>
  <si>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</si>
  <si>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</si>
  <si>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</si>
  <si>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</si>
  <si>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</si>
  <si>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</si>
  <si>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</si>
  <si>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</si>
  <si>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</si>
  <si>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</si>
  <si>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</si>
  <si>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</si>
  <si>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</si>
  <si>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</si>
  <si>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</si>
  <si>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</si>
  <si>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</si>
  <si>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</si>
  <si>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</si>
  <si>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</si>
  <si>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</si>
  <si>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</si>
  <si>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</si>
  <si>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</si>
  <si>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</si>
  <si>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</si>
  <si>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</si>
  <si>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</si>
  <si>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</si>
  <si>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</si>
  <si>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</si>
  <si>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</si>
  <si>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</si>
  <si>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</si>
  <si>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</si>
  <si>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</si>
  <si>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</si>
  <si>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</si>
  <si>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</si>
  <si>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</si>
  <si>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</si>
  <si>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</si>
  <si>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</si>
  <si>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</si>
  <si>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</si>
  <si>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</si>
  <si>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</si>
  <si>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</si>
  <si>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</si>
  <si>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</si>
  <si>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</si>
  <si>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</si>
  <si>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</si>
  <si>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</si>
  <si>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</si>
  <si>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</si>
  <si>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</si>
  <si>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</si>
  <si>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</si>
  <si>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</si>
  <si>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</si>
  <si>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</si>
  <si>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</si>
  <si>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</si>
  <si>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</si>
  <si>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</si>
  <si>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</si>
  <si>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</si>
  <si>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</si>
  <si>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</si>
  <si>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</si>
  <si>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</si>
  <si>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</si>
  <si>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</si>
  <si>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</si>
  <si>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</si>
  <si>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</si>
  <si>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</si>
  <si>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</si>
  <si>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</si>
  <si>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</si>
  <si>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</si>
  <si>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</si>
  <si>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</si>
  <si>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</si>
  <si>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</si>
  <si>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</si>
  <si>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</si>
  <si>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</si>
  <si>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</si>
  <si>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</si>
  <si>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</si>
  <si>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</si>
  <si>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</si>
  <si>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</si>
  <si>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</si>
  <si>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</si>
  <si>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</si>
  <si>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</si>
  <si>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</si>
  <si>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</si>
  <si>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</si>
  <si>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</si>
  <si>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</si>
  <si>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</si>
  <si>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</si>
  <si>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</si>
  <si>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</si>
  <si>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</si>
  <si>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</si>
  <si>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</si>
  <si>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</si>
  <si>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</si>
  <si>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</si>
  <si>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</si>
  <si>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</si>
  <si>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</si>
  <si>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</si>
  <si>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</si>
  <si>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</si>
  <si>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</si>
  <si>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</si>
  <si>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</si>
  <si>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</si>
  <si>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</si>
  <si>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</si>
  <si>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</si>
  <si>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</si>
  <si>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</si>
  <si>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</si>
  <si>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</si>
  <si>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</si>
  <si>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</si>
  <si>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</si>
  <si>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</si>
  <si>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</si>
  <si>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</si>
  <si>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</si>
  <si>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</si>
  <si>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</si>
  <si>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</si>
  <si>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</si>
  <si>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</si>
  <si>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</si>
  <si>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</si>
  <si>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</si>
  <si>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</si>
  <si>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</si>
  <si>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</si>
  <si>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</si>
  <si>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</si>
  <si>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</si>
  <si>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</si>
  <si>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</si>
  <si>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</si>
  <si>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</si>
  <si>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</si>
  <si>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</si>
  <si>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</si>
  <si>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</si>
  <si>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</si>
  <si>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</si>
  <si>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</si>
  <si>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</si>
  <si>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</si>
  <si>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</si>
  <si>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</si>
  <si>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</si>
  <si>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</si>
  <si>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</si>
  <si>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</si>
  <si>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</si>
  <si>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</si>
  <si>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</si>
  <si>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</si>
  <si>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</si>
  <si>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</si>
  <si>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</si>
  <si>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15411</t>
  </si>
  <si>
    <t>215</t>
  </si>
  <si>
    <t>Humana Insurance Company</t>
  </si>
  <si>
    <t>Humana Health Plan of Ohio, Inc.</t>
  </si>
  <si>
    <t>Humana Employers Health Plan of Georgia, Inc.</t>
  </si>
  <si>
    <t>Humana Insurance Company of Kentucky</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</si>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</sst>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157</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52517711</v>
      </c>
      <c r="E5" s="213">
        <f>SUM('Pt 2 Premium and Claims'!E$5,'Pt 2 Premium and Claims'!E$6,-'Pt 2 Premium and Claims'!E$7,-'Pt 2 Premium and Claims'!E$13,'Pt 2 Premium and Claims'!E$14:'Pt 2 Premium and Claims'!E$17)</f>
        <v>62179410.630000301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51153636</v>
      </c>
      <c r="J5" s="212">
        <f>SUM('Pt 2 Premium and Claims'!J$5,'Pt 2 Premium and Claims'!J$6,-'Pt 2 Premium and Claims'!J$7,-'Pt 2 Premium and Claims'!J$13,'Pt 2 Premium and Claims'!J$14,'Pt 2 Premium and Claims'!J$16:'Pt 2 Premium and Claims'!J$17)</f>
        <v>223775533</v>
      </c>
      <c r="K5" s="213">
        <f>SUM('Pt 2 Premium and Claims'!K$5,'Pt 2 Premium and Claims'!K$6,-'Pt 2 Premium and Claims'!K$7,-'Pt 2 Premium and Claims'!K$13,'Pt 2 Premium and Claims'!K$14,'Pt 2 Premium and Claims'!K$16:'Pt 2 Premium and Claims'!K$17)</f>
        <v>220585638.54186499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233959916</v>
      </c>
      <c r="Q5" s="213">
        <f>SUM('Pt 2 Premium and Claims'!Q$5,'Pt 2 Premium and Claims'!Q$6,-'Pt 2 Premium and Claims'!Q$7,-'Pt 2 Premium and Claims'!Q$13,'Pt 2 Premium and Claims'!Q$14)</f>
        <v>238901851.72108501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765219979</v>
      </c>
      <c r="AT5" s="214">
        <f>SUM('Pt 2 Premium and Claims'!AT$5,'Pt 2 Premium and Claims'!AT$6,-'Pt 2 Premium and Claims'!AT$7,-'Pt 2 Premium and Claims'!AT$13,'Pt 2 Premium and Claims'!AT$14)</f>
        <v>100152</v>
      </c>
      <c r="AU5" s="214">
        <f>SUM('Pt 2 Premium and Claims'!AU$5,'Pt 2 Premium and Claims'!AU$6,-'Pt 2 Premium and Claims'!AU$7,-'Pt 2 Premium and Claims'!AU$13,'Pt 2 Premium and Claims'!AU$14)</f>
        <v>4493951546</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-0.19</v>
      </c>
      <c r="L7" s="217"/>
      <c r="M7" s="217"/>
      <c r="N7" s="217"/>
      <c r="O7" s="216"/>
      <c r="P7" s="216">
        <v>0</v>
      </c>
      <c r="Q7" s="217">
        <v>0.19</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-498954</v>
      </c>
      <c r="E8" s="268"/>
      <c r="F8" s="269"/>
      <c r="G8" s="269"/>
      <c r="H8" s="269"/>
      <c r="I8" s="272"/>
      <c r="J8" s="216">
        <v>-415100</v>
      </c>
      <c r="K8" s="268"/>
      <c r="L8" s="269"/>
      <c r="M8" s="269"/>
      <c r="N8" s="269"/>
      <c r="O8" s="272"/>
      <c r="P8" s="216">
        <v>-327882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-760709018</v>
      </c>
      <c r="AT8" s="220">
        <v>0</v>
      </c>
      <c r="AU8" s="220">
        <v>7301</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47866608</v>
      </c>
      <c r="E12" s="213">
        <f>'Pt 2 Premium and Claims'!E$54</f>
        <v>55892517.143500008</v>
      </c>
      <c r="F12" s="213">
        <f>'Pt 2 Premium and Claims'!F$54</f>
        <v>0</v>
      </c>
      <c r="G12" s="213">
        <f>'Pt 2 Premium and Claims'!G$54</f>
        <v>0</v>
      </c>
      <c r="H12" s="213">
        <f>'Pt 2 Premium and Claims'!H$54</f>
        <v>0</v>
      </c>
      <c r="I12" s="212">
        <f>'Pt 2 Premium and Claims'!I$54</f>
        <v>52505720</v>
      </c>
      <c r="J12" s="212">
        <f>'Pt 2 Premium and Claims'!J$54</f>
        <v>191610690</v>
      </c>
      <c r="K12" s="213">
        <f>'Pt 2 Premium and Claims'!K$54</f>
        <v>184276462.77126122</v>
      </c>
      <c r="L12" s="213">
        <f>'Pt 2 Premium and Claims'!L$54</f>
        <v>0</v>
      </c>
      <c r="M12" s="213">
        <f>'Pt 2 Premium and Claims'!M$54</f>
        <v>0</v>
      </c>
      <c r="N12" s="213">
        <f>'Pt 2 Premium and Claims'!N$54</f>
        <v>0</v>
      </c>
      <c r="O12" s="212">
        <f>'Pt 2 Premium and Claims'!O$54</f>
        <v>0</v>
      </c>
      <c r="P12" s="212">
        <f>'Pt 2 Premium and Claims'!P$54</f>
        <v>190858677</v>
      </c>
      <c r="Q12" s="213">
        <f>'Pt 2 Premium and Claims'!Q$54</f>
        <v>194934576.1460954</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619890056</v>
      </c>
      <c r="AT12" s="214">
        <f>'Pt 2 Premium and Claims'!AT$54</f>
        <v>2726</v>
      </c>
      <c r="AU12" s="214">
        <f>'Pt 2 Premium and Claims'!AU$54</f>
        <v>3978916987</v>
      </c>
      <c r="AV12" s="291"/>
      <c r="AW12" s="296"/>
    </row>
    <row r="13" spans="1:49" ht="25.5" x14ac:dyDescent="0.2">
      <c r="B13" s="239" t="s">
        <v>230</v>
      </c>
      <c r="C13" s="203" t="s">
        <v>37</v>
      </c>
      <c r="D13" s="216">
        <v>9836776</v>
      </c>
      <c r="E13" s="217">
        <v>10127871.890000001</v>
      </c>
      <c r="F13" s="217"/>
      <c r="G13" s="268"/>
      <c r="H13" s="269"/>
      <c r="I13" s="216">
        <v>8403288</v>
      </c>
      <c r="J13" s="216">
        <v>43354293</v>
      </c>
      <c r="K13" s="217">
        <v>42366648.621711373</v>
      </c>
      <c r="L13" s="217"/>
      <c r="M13" s="268"/>
      <c r="N13" s="269"/>
      <c r="O13" s="216"/>
      <c r="P13" s="216">
        <v>40315375</v>
      </c>
      <c r="Q13" s="217">
        <v>41354111.999122337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136617908</v>
      </c>
      <c r="AT13" s="220">
        <v>0</v>
      </c>
      <c r="AU13" s="220">
        <v>532849762</v>
      </c>
      <c r="AV13" s="290"/>
      <c r="AW13" s="297"/>
    </row>
    <row r="14" spans="1:49" ht="25.5" x14ac:dyDescent="0.2">
      <c r="B14" s="239" t="s">
        <v>231</v>
      </c>
      <c r="C14" s="203" t="s">
        <v>6</v>
      </c>
      <c r="D14" s="216">
        <v>1200302</v>
      </c>
      <c r="E14" s="217">
        <v>1157143.79</v>
      </c>
      <c r="F14" s="217"/>
      <c r="G14" s="267"/>
      <c r="H14" s="270"/>
      <c r="I14" s="216">
        <v>941414</v>
      </c>
      <c r="J14" s="216">
        <v>6438903</v>
      </c>
      <c r="K14" s="217">
        <v>6509131.8383032465</v>
      </c>
      <c r="L14" s="217"/>
      <c r="M14" s="267"/>
      <c r="N14" s="270"/>
      <c r="O14" s="216"/>
      <c r="P14" s="216">
        <v>5919370</v>
      </c>
      <c r="Q14" s="217">
        <v>6130946.9879915118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-131</v>
      </c>
      <c r="AU14" s="220">
        <v>179182465</v>
      </c>
      <c r="AV14" s="290"/>
      <c r="AW14" s="297"/>
    </row>
    <row r="15" spans="1:49" ht="38.25" x14ac:dyDescent="0.2">
      <c r="B15" s="239" t="s">
        <v>232</v>
      </c>
      <c r="C15" s="203" t="s">
        <v>7</v>
      </c>
      <c r="D15" s="216">
        <v>778</v>
      </c>
      <c r="E15" s="217">
        <v>778.41</v>
      </c>
      <c r="F15" s="217"/>
      <c r="G15" s="267"/>
      <c r="H15" s="273"/>
      <c r="I15" s="216">
        <v>621</v>
      </c>
      <c r="J15" s="216">
        <v>3217</v>
      </c>
      <c r="K15" s="217">
        <v>3146.9283512707675</v>
      </c>
      <c r="L15" s="217"/>
      <c r="M15" s="267"/>
      <c r="N15" s="273"/>
      <c r="O15" s="216"/>
      <c r="P15" s="216">
        <v>3234</v>
      </c>
      <c r="Q15" s="217">
        <v>3304.6016487292322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10799</v>
      </c>
      <c r="AT15" s="220">
        <v>0</v>
      </c>
      <c r="AU15" s="220">
        <v>41521</v>
      </c>
      <c r="AV15" s="290"/>
      <c r="AW15" s="297"/>
    </row>
    <row r="16" spans="1:49" ht="25.5" x14ac:dyDescent="0.2">
      <c r="B16" s="239" t="s">
        <v>233</v>
      </c>
      <c r="C16" s="203" t="s">
        <v>61</v>
      </c>
      <c r="D16" s="216">
        <v>-9560396</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-615065800</v>
      </c>
      <c r="AT16" s="220">
        <v>0</v>
      </c>
      <c r="AU16" s="220">
        <v>-917589</v>
      </c>
      <c r="AV16" s="290"/>
      <c r="AW16" s="297"/>
    </row>
    <row r="17" spans="1:49" x14ac:dyDescent="0.2">
      <c r="B17" s="239" t="s">
        <v>234</v>
      </c>
      <c r="C17" s="203" t="s">
        <v>62</v>
      </c>
      <c r="D17" s="216">
        <v>10501230</v>
      </c>
      <c r="E17" s="267"/>
      <c r="F17" s="270"/>
      <c r="G17" s="270"/>
      <c r="H17" s="270"/>
      <c r="I17" s="271"/>
      <c r="J17" s="216">
        <v>3350646</v>
      </c>
      <c r="K17" s="267"/>
      <c r="L17" s="270"/>
      <c r="M17" s="270"/>
      <c r="N17" s="270"/>
      <c r="O17" s="271"/>
      <c r="P17" s="216">
        <v>-859078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16735329</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858981</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2380</v>
      </c>
      <c r="K19" s="267"/>
      <c r="L19" s="270"/>
      <c r="M19" s="270"/>
      <c r="N19" s="270"/>
      <c r="O19" s="271"/>
      <c r="P19" s="216">
        <v>266</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3903529</v>
      </c>
      <c r="AV19" s="290"/>
      <c r="AW19" s="297"/>
    </row>
    <row r="20" spans="1:49" x14ac:dyDescent="0.2">
      <c r="B20" s="239" t="s">
        <v>237</v>
      </c>
      <c r="C20" s="203" t="s">
        <v>65</v>
      </c>
      <c r="D20" s="216">
        <v>0</v>
      </c>
      <c r="E20" s="267"/>
      <c r="F20" s="270"/>
      <c r="G20" s="270"/>
      <c r="H20" s="270"/>
      <c r="I20" s="271"/>
      <c r="J20" s="216">
        <v>-266</v>
      </c>
      <c r="K20" s="267"/>
      <c r="L20" s="270"/>
      <c r="M20" s="270"/>
      <c r="N20" s="270"/>
      <c r="O20" s="271"/>
      <c r="P20" s="216">
        <v>363</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3203848</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85859</v>
      </c>
      <c r="E22" s="222">
        <f>'Pt 2 Premium and Claims'!E$55</f>
        <v>85858.95</v>
      </c>
      <c r="F22" s="222">
        <f>'Pt 2 Premium and Claims'!F$55</f>
        <v>0</v>
      </c>
      <c r="G22" s="222">
        <f>'Pt 2 Premium and Claims'!G$55</f>
        <v>0</v>
      </c>
      <c r="H22" s="222">
        <f>'Pt 2 Premium and Claims'!H$55</f>
        <v>0</v>
      </c>
      <c r="I22" s="221">
        <f>'Pt 2 Premium and Claims'!I$55</f>
        <v>45744</v>
      </c>
      <c r="J22" s="221">
        <f>'Pt 2 Premium and Claims'!J$55</f>
        <v>254653</v>
      </c>
      <c r="K22" s="222">
        <f>'Pt 2 Premium and Claims'!K$55</f>
        <v>254652.7</v>
      </c>
      <c r="L22" s="222">
        <f>'Pt 2 Premium and Claims'!L$55</f>
        <v>0</v>
      </c>
      <c r="M22" s="222">
        <f>'Pt 2 Premium and Claims'!M$55</f>
        <v>0</v>
      </c>
      <c r="N22" s="222">
        <f>'Pt 2 Premium and Claims'!N$55</f>
        <v>0</v>
      </c>
      <c r="O22" s="221">
        <f>'Pt 2 Premium and Claims'!O$55</f>
        <v>0</v>
      </c>
      <c r="P22" s="221">
        <f>'Pt 2 Premium and Claims'!P$55</f>
        <v>365574.72</v>
      </c>
      <c r="Q22" s="222">
        <f>'Pt 2 Premium and Claims'!Q$55</f>
        <v>373317.73462860193</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-275832.07</v>
      </c>
      <c r="E25" s="217">
        <v>-275844.14799675072</v>
      </c>
      <c r="F25" s="217"/>
      <c r="G25" s="217"/>
      <c r="H25" s="217"/>
      <c r="I25" s="216">
        <v>-2211693</v>
      </c>
      <c r="J25" s="216">
        <v>-3867790.75</v>
      </c>
      <c r="K25" s="217">
        <v>-5889038.7494648974</v>
      </c>
      <c r="L25" s="217"/>
      <c r="M25" s="217"/>
      <c r="N25" s="217"/>
      <c r="O25" s="216"/>
      <c r="P25" s="216">
        <v>4653670.47</v>
      </c>
      <c r="Q25" s="217">
        <v>6674923.5720481733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3956248.55</v>
      </c>
      <c r="AT25" s="220">
        <v>1588.43</v>
      </c>
      <c r="AU25" s="220">
        <v>-5257298.9800000004</v>
      </c>
      <c r="AV25" s="220"/>
      <c r="AW25" s="297"/>
    </row>
    <row r="26" spans="1:49" s="5" customFormat="1" x14ac:dyDescent="0.2">
      <c r="A26" s="35"/>
      <c r="B26" s="242" t="s">
        <v>242</v>
      </c>
      <c r="C26" s="203"/>
      <c r="D26" s="216">
        <v>28700.67</v>
      </c>
      <c r="E26" s="217">
        <v>28700.67</v>
      </c>
      <c r="F26" s="217"/>
      <c r="G26" s="217"/>
      <c r="H26" s="217"/>
      <c r="I26" s="216">
        <v>11923</v>
      </c>
      <c r="J26" s="216">
        <v>109151.85</v>
      </c>
      <c r="K26" s="217">
        <v>106593.41612770202</v>
      </c>
      <c r="L26" s="217"/>
      <c r="M26" s="217"/>
      <c r="N26" s="217"/>
      <c r="O26" s="216"/>
      <c r="P26" s="216">
        <v>129239.3</v>
      </c>
      <c r="Q26" s="217">
        <v>131797.73387229798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993.01</v>
      </c>
      <c r="AU26" s="220"/>
      <c r="AV26" s="220"/>
      <c r="AW26" s="297"/>
    </row>
    <row r="27" spans="1:49" s="5" customFormat="1" x14ac:dyDescent="0.2">
      <c r="B27" s="242" t="s">
        <v>243</v>
      </c>
      <c r="C27" s="203"/>
      <c r="D27" s="216">
        <v>1878733.91</v>
      </c>
      <c r="E27" s="217">
        <v>1878733.91</v>
      </c>
      <c r="F27" s="217"/>
      <c r="G27" s="217"/>
      <c r="H27" s="217"/>
      <c r="I27" s="216">
        <v>1498055</v>
      </c>
      <c r="J27" s="216">
        <v>7175399.04</v>
      </c>
      <c r="K27" s="217">
        <v>7017942.9001939502</v>
      </c>
      <c r="L27" s="217"/>
      <c r="M27" s="217"/>
      <c r="N27" s="217"/>
      <c r="O27" s="216"/>
      <c r="P27" s="216">
        <v>7244084.54</v>
      </c>
      <c r="Q27" s="217">
        <v>7401540.6798060499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12804496.470000001</v>
      </c>
      <c r="AT27" s="220">
        <v>16.809999999999999</v>
      </c>
      <c r="AU27" s="220">
        <v>75255999.180000007</v>
      </c>
      <c r="AV27" s="293"/>
      <c r="AW27" s="297"/>
    </row>
    <row r="28" spans="1:49" s="5" customFormat="1" x14ac:dyDescent="0.2">
      <c r="A28" s="35"/>
      <c r="B28" s="242" t="s">
        <v>244</v>
      </c>
      <c r="C28" s="203"/>
      <c r="D28" s="216">
        <v>163360.42000000001</v>
      </c>
      <c r="E28" s="217">
        <v>163360.42000000001</v>
      </c>
      <c r="F28" s="217"/>
      <c r="G28" s="217"/>
      <c r="H28" s="217"/>
      <c r="I28" s="216">
        <v>113529</v>
      </c>
      <c r="J28" s="216">
        <v>394050.09</v>
      </c>
      <c r="K28" s="217">
        <v>385061.957810105</v>
      </c>
      <c r="L28" s="217"/>
      <c r="M28" s="217"/>
      <c r="N28" s="217"/>
      <c r="O28" s="216"/>
      <c r="P28" s="216">
        <v>436780.88</v>
      </c>
      <c r="Q28" s="217">
        <v>445769.01218989497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3737523.48</v>
      </c>
      <c r="AT28" s="220">
        <v>0.84</v>
      </c>
      <c r="AU28" s="220">
        <v>8224242.6799999997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20810.189999999999</v>
      </c>
      <c r="E30" s="217">
        <v>20809.118408590668</v>
      </c>
      <c r="F30" s="217"/>
      <c r="G30" s="217"/>
      <c r="H30" s="217"/>
      <c r="I30" s="216">
        <v>-164773</v>
      </c>
      <c r="J30" s="216">
        <v>-201705.36</v>
      </c>
      <c r="K30" s="217">
        <v>-384175.65576152102</v>
      </c>
      <c r="L30" s="217"/>
      <c r="M30" s="217"/>
      <c r="N30" s="217"/>
      <c r="O30" s="216"/>
      <c r="P30" s="216">
        <v>559078.74</v>
      </c>
      <c r="Q30" s="217">
        <v>741549.48847603297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787170.21</v>
      </c>
      <c r="AT30" s="220">
        <v>143.21</v>
      </c>
      <c r="AU30" s="220">
        <v>1842417.71</v>
      </c>
      <c r="AV30" s="220"/>
      <c r="AW30" s="297"/>
    </row>
    <row r="31" spans="1:49" x14ac:dyDescent="0.2">
      <c r="B31" s="242" t="s">
        <v>247</v>
      </c>
      <c r="C31" s="203"/>
      <c r="D31" s="216"/>
      <c r="E31" s="217"/>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132.04</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357938.55</v>
      </c>
      <c r="E34" s="217">
        <v>743708.67</v>
      </c>
      <c r="F34" s="217"/>
      <c r="G34" s="217"/>
      <c r="H34" s="217"/>
      <c r="I34" s="216">
        <v>514828</v>
      </c>
      <c r="J34" s="216">
        <v>2290952.83</v>
      </c>
      <c r="K34" s="217">
        <v>2241385.4441705318</v>
      </c>
      <c r="L34" s="217"/>
      <c r="M34" s="217"/>
      <c r="N34" s="217"/>
      <c r="O34" s="216"/>
      <c r="P34" s="216">
        <v>2228792.2599999998</v>
      </c>
      <c r="Q34" s="217">
        <v>2278359.645829468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61852.24</v>
      </c>
      <c r="E35" s="217">
        <v>61852.24</v>
      </c>
      <c r="F35" s="217"/>
      <c r="G35" s="217"/>
      <c r="H35" s="217"/>
      <c r="I35" s="216">
        <v>46587</v>
      </c>
      <c r="J35" s="216">
        <v>153228.03</v>
      </c>
      <c r="K35" s="217">
        <v>150036.50748311216</v>
      </c>
      <c r="L35" s="217"/>
      <c r="M35" s="217"/>
      <c r="N35" s="217"/>
      <c r="O35" s="216"/>
      <c r="P35" s="216">
        <v>135270.01999999999</v>
      </c>
      <c r="Q35" s="217">
        <v>138461.54251688783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1146660.93</v>
      </c>
      <c r="AT35" s="220">
        <v>0.13</v>
      </c>
      <c r="AU35" s="220">
        <v>2528231.4700000002</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139507</v>
      </c>
      <c r="E37" s="225">
        <v>139506.66</v>
      </c>
      <c r="F37" s="225"/>
      <c r="G37" s="225"/>
      <c r="H37" s="225"/>
      <c r="I37" s="224">
        <v>99068</v>
      </c>
      <c r="J37" s="224">
        <v>527808</v>
      </c>
      <c r="K37" s="225">
        <v>514754.75155202852</v>
      </c>
      <c r="L37" s="225"/>
      <c r="M37" s="225"/>
      <c r="N37" s="225"/>
      <c r="O37" s="224"/>
      <c r="P37" s="224">
        <v>660463</v>
      </c>
      <c r="Q37" s="225">
        <v>673514.92844797147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2662</v>
      </c>
      <c r="AT37" s="226">
        <v>0</v>
      </c>
      <c r="AU37" s="226">
        <v>29992603</v>
      </c>
      <c r="AV37" s="226">
        <v>969085</v>
      </c>
      <c r="AW37" s="296"/>
    </row>
    <row r="38" spans="1:49" x14ac:dyDescent="0.2">
      <c r="B38" s="239" t="s">
        <v>254</v>
      </c>
      <c r="C38" s="203" t="s">
        <v>16</v>
      </c>
      <c r="D38" s="216">
        <v>14346</v>
      </c>
      <c r="E38" s="217">
        <v>14345.96</v>
      </c>
      <c r="F38" s="217"/>
      <c r="G38" s="217"/>
      <c r="H38" s="217"/>
      <c r="I38" s="216">
        <v>7927</v>
      </c>
      <c r="J38" s="216">
        <v>175276</v>
      </c>
      <c r="K38" s="217">
        <v>170354.54632310881</v>
      </c>
      <c r="L38" s="217"/>
      <c r="M38" s="217"/>
      <c r="N38" s="217"/>
      <c r="O38" s="216"/>
      <c r="P38" s="216">
        <v>280203</v>
      </c>
      <c r="Q38" s="217">
        <v>285124.72367689118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12552715</v>
      </c>
      <c r="AV38" s="220">
        <v>267833</v>
      </c>
      <c r="AW38" s="297"/>
    </row>
    <row r="39" spans="1:49" x14ac:dyDescent="0.2">
      <c r="B39" s="242" t="s">
        <v>255</v>
      </c>
      <c r="C39" s="203" t="s">
        <v>17</v>
      </c>
      <c r="D39" s="216">
        <v>67763</v>
      </c>
      <c r="E39" s="217">
        <v>67763.16</v>
      </c>
      <c r="F39" s="217"/>
      <c r="G39" s="217"/>
      <c r="H39" s="217"/>
      <c r="I39" s="216">
        <v>49165</v>
      </c>
      <c r="J39" s="216">
        <v>292726</v>
      </c>
      <c r="K39" s="217">
        <v>286177.43685915077</v>
      </c>
      <c r="L39" s="217"/>
      <c r="M39" s="217"/>
      <c r="N39" s="217"/>
      <c r="O39" s="216"/>
      <c r="P39" s="216">
        <v>307896</v>
      </c>
      <c r="Q39" s="217">
        <v>314445.0231408492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8385083</v>
      </c>
      <c r="AV39" s="220">
        <v>388590</v>
      </c>
      <c r="AW39" s="297"/>
    </row>
    <row r="40" spans="1:49" x14ac:dyDescent="0.2">
      <c r="B40" s="242" t="s">
        <v>256</v>
      </c>
      <c r="C40" s="203" t="s">
        <v>38</v>
      </c>
      <c r="D40" s="216">
        <v>190622</v>
      </c>
      <c r="E40" s="217">
        <v>190622.33</v>
      </c>
      <c r="F40" s="217"/>
      <c r="G40" s="217"/>
      <c r="H40" s="217"/>
      <c r="I40" s="216">
        <v>109289</v>
      </c>
      <c r="J40" s="216">
        <v>2456795</v>
      </c>
      <c r="K40" s="217">
        <v>2400690.4803499798</v>
      </c>
      <c r="L40" s="217"/>
      <c r="M40" s="217"/>
      <c r="N40" s="217"/>
      <c r="O40" s="216"/>
      <c r="P40" s="216">
        <v>2658148</v>
      </c>
      <c r="Q40" s="217">
        <v>2714252.4496500203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301593</v>
      </c>
      <c r="AT40" s="220">
        <v>0</v>
      </c>
      <c r="AU40" s="220">
        <v>31580786</v>
      </c>
      <c r="AV40" s="220">
        <v>761227</v>
      </c>
      <c r="AW40" s="297"/>
    </row>
    <row r="41" spans="1:49" s="5" customFormat="1" ht="25.5" x14ac:dyDescent="0.2">
      <c r="A41" s="35"/>
      <c r="B41" s="242" t="s">
        <v>257</v>
      </c>
      <c r="C41" s="203" t="s">
        <v>129</v>
      </c>
      <c r="D41" s="216">
        <v>87539</v>
      </c>
      <c r="E41" s="217">
        <v>87539.21</v>
      </c>
      <c r="F41" s="217"/>
      <c r="G41" s="217"/>
      <c r="H41" s="217"/>
      <c r="I41" s="216">
        <v>55068</v>
      </c>
      <c r="J41" s="216">
        <v>347236</v>
      </c>
      <c r="K41" s="217">
        <v>339738.4466643029</v>
      </c>
      <c r="L41" s="217"/>
      <c r="M41" s="217"/>
      <c r="N41" s="217"/>
      <c r="O41" s="216"/>
      <c r="P41" s="216">
        <v>336285</v>
      </c>
      <c r="Q41" s="217">
        <v>343783.06333569711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27831</v>
      </c>
      <c r="AT41" s="220">
        <v>0</v>
      </c>
      <c r="AU41" s="220">
        <v>5903006</v>
      </c>
      <c r="AV41" s="220">
        <v>718457</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639332</v>
      </c>
      <c r="E44" s="225">
        <v>639331.68999999994</v>
      </c>
      <c r="F44" s="225"/>
      <c r="G44" s="225"/>
      <c r="H44" s="225"/>
      <c r="I44" s="224">
        <v>535931</v>
      </c>
      <c r="J44" s="224">
        <v>2590335</v>
      </c>
      <c r="K44" s="225">
        <v>2532386.7513066037</v>
      </c>
      <c r="L44" s="225"/>
      <c r="M44" s="225"/>
      <c r="N44" s="225"/>
      <c r="O44" s="224"/>
      <c r="P44" s="224">
        <v>2691737</v>
      </c>
      <c r="Q44" s="225">
        <v>2749684.3686933964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337</v>
      </c>
      <c r="AT44" s="226">
        <v>0</v>
      </c>
      <c r="AU44" s="226">
        <v>46820122</v>
      </c>
      <c r="AV44" s="226">
        <v>4236850</v>
      </c>
      <c r="AW44" s="296"/>
    </row>
    <row r="45" spans="1:49" x14ac:dyDescent="0.2">
      <c r="B45" s="245" t="s">
        <v>261</v>
      </c>
      <c r="C45" s="203" t="s">
        <v>19</v>
      </c>
      <c r="D45" s="216">
        <v>616183</v>
      </c>
      <c r="E45" s="217">
        <v>616183</v>
      </c>
      <c r="F45" s="217"/>
      <c r="G45" s="217"/>
      <c r="H45" s="217"/>
      <c r="I45" s="216">
        <v>468961</v>
      </c>
      <c r="J45" s="216">
        <v>1675684</v>
      </c>
      <c r="K45" s="217">
        <v>1639362.0906584179</v>
      </c>
      <c r="L45" s="217"/>
      <c r="M45" s="217"/>
      <c r="N45" s="217"/>
      <c r="O45" s="216"/>
      <c r="P45" s="216">
        <v>1675191</v>
      </c>
      <c r="Q45" s="217">
        <v>1711512.6293415821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1222</v>
      </c>
      <c r="AT45" s="220">
        <v>-77</v>
      </c>
      <c r="AU45" s="220">
        <v>43656520</v>
      </c>
      <c r="AV45" s="220">
        <v>3413383</v>
      </c>
      <c r="AW45" s="297"/>
    </row>
    <row r="46" spans="1:49" x14ac:dyDescent="0.2">
      <c r="B46" s="245" t="s">
        <v>262</v>
      </c>
      <c r="C46" s="203" t="s">
        <v>20</v>
      </c>
      <c r="D46" s="216">
        <v>295520</v>
      </c>
      <c r="E46" s="217">
        <v>295520.08</v>
      </c>
      <c r="F46" s="217"/>
      <c r="G46" s="217"/>
      <c r="H46" s="217"/>
      <c r="I46" s="216">
        <v>261826</v>
      </c>
      <c r="J46" s="216">
        <v>910307</v>
      </c>
      <c r="K46" s="217">
        <v>890074.49768564908</v>
      </c>
      <c r="L46" s="217"/>
      <c r="M46" s="217"/>
      <c r="N46" s="217"/>
      <c r="O46" s="216"/>
      <c r="P46" s="216">
        <v>945911</v>
      </c>
      <c r="Q46" s="217">
        <v>966143.64231435093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855</v>
      </c>
      <c r="AT46" s="220">
        <v>3</v>
      </c>
      <c r="AU46" s="220">
        <v>37903091</v>
      </c>
      <c r="AV46" s="220">
        <v>1270548</v>
      </c>
      <c r="AW46" s="297"/>
    </row>
    <row r="47" spans="1:49" x14ac:dyDescent="0.2">
      <c r="B47" s="245" t="s">
        <v>263</v>
      </c>
      <c r="C47" s="203" t="s">
        <v>21</v>
      </c>
      <c r="D47" s="216">
        <v>1446056</v>
      </c>
      <c r="E47" s="217">
        <v>1446055.84</v>
      </c>
      <c r="F47" s="217"/>
      <c r="G47" s="217"/>
      <c r="H47" s="217"/>
      <c r="I47" s="216">
        <v>919988</v>
      </c>
      <c r="J47" s="216">
        <v>9618611</v>
      </c>
      <c r="K47" s="217">
        <v>9418933.4814917836</v>
      </c>
      <c r="L47" s="217"/>
      <c r="M47" s="217"/>
      <c r="N47" s="217"/>
      <c r="O47" s="216"/>
      <c r="P47" s="216">
        <v>8209142</v>
      </c>
      <c r="Q47" s="217">
        <v>8408819.7585082166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1390565</v>
      </c>
      <c r="AT47" s="220">
        <v>5</v>
      </c>
      <c r="AU47" s="220">
        <v>68582917</v>
      </c>
      <c r="AV47" s="220">
        <v>820584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-169718.7</v>
      </c>
      <c r="E49" s="217">
        <v>-169718.7</v>
      </c>
      <c r="F49" s="217"/>
      <c r="G49" s="217"/>
      <c r="H49" s="217"/>
      <c r="I49" s="216">
        <v>-69084</v>
      </c>
      <c r="J49" s="216">
        <v>-2450760.71</v>
      </c>
      <c r="K49" s="217">
        <v>-2451413.9439950795</v>
      </c>
      <c r="L49" s="217"/>
      <c r="M49" s="217"/>
      <c r="N49" s="217"/>
      <c r="O49" s="216"/>
      <c r="P49" s="216">
        <v>2829373.07</v>
      </c>
      <c r="Q49" s="217">
        <v>2830026.3039950794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2638372.67</v>
      </c>
      <c r="AT49" s="220">
        <v>1018.96</v>
      </c>
      <c r="AU49" s="220">
        <v>-3202197.34</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65000</v>
      </c>
      <c r="AT50" s="220"/>
      <c r="AU50" s="220">
        <v>184476.12</v>
      </c>
      <c r="AV50" s="220"/>
      <c r="AW50" s="297"/>
    </row>
    <row r="51" spans="2:49" x14ac:dyDescent="0.2">
      <c r="B51" s="239" t="s">
        <v>266</v>
      </c>
      <c r="C51" s="203"/>
      <c r="D51" s="216">
        <v>4742225</v>
      </c>
      <c r="E51" s="217">
        <v>4742225.09</v>
      </c>
      <c r="F51" s="217"/>
      <c r="G51" s="217"/>
      <c r="H51" s="217"/>
      <c r="I51" s="216">
        <v>3352972</v>
      </c>
      <c r="J51" s="216">
        <v>12734806</v>
      </c>
      <c r="K51" s="217">
        <v>12450780.358047364</v>
      </c>
      <c r="L51" s="217"/>
      <c r="M51" s="217"/>
      <c r="N51" s="217"/>
      <c r="O51" s="216"/>
      <c r="P51" s="216">
        <v>13487846</v>
      </c>
      <c r="Q51" s="217">
        <v>13771871.081952635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-17871315</v>
      </c>
      <c r="AT51" s="220">
        <v>-5</v>
      </c>
      <c r="AU51" s="220">
        <v>238932355</v>
      </c>
      <c r="AV51" s="220">
        <v>23047429</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8456</v>
      </c>
      <c r="E56" s="229">
        <v>8456</v>
      </c>
      <c r="F56" s="229"/>
      <c r="G56" s="229"/>
      <c r="H56" s="229"/>
      <c r="I56" s="228">
        <v>6847</v>
      </c>
      <c r="J56" s="228">
        <v>32790</v>
      </c>
      <c r="K56" s="229">
        <v>32765</v>
      </c>
      <c r="L56" s="229"/>
      <c r="M56" s="229"/>
      <c r="N56" s="229"/>
      <c r="O56" s="228"/>
      <c r="P56" s="228">
        <v>32036</v>
      </c>
      <c r="Q56" s="229">
        <v>32061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2584</v>
      </c>
      <c r="AT56" s="230">
        <v>0</v>
      </c>
      <c r="AU56" s="230">
        <v>480688</v>
      </c>
      <c r="AV56" s="230">
        <v>53845</v>
      </c>
      <c r="AW56" s="288"/>
    </row>
    <row r="57" spans="2:49" x14ac:dyDescent="0.2">
      <c r="B57" s="245" t="s">
        <v>272</v>
      </c>
      <c r="C57" s="203" t="s">
        <v>25</v>
      </c>
      <c r="D57" s="231">
        <v>13218</v>
      </c>
      <c r="E57" s="232">
        <v>13218</v>
      </c>
      <c r="F57" s="232"/>
      <c r="G57" s="232"/>
      <c r="H57" s="232"/>
      <c r="I57" s="231">
        <v>10284</v>
      </c>
      <c r="J57" s="231">
        <v>55769</v>
      </c>
      <c r="K57" s="232">
        <v>52992</v>
      </c>
      <c r="L57" s="232"/>
      <c r="M57" s="232"/>
      <c r="N57" s="232"/>
      <c r="O57" s="231"/>
      <c r="P57" s="231">
        <v>53286</v>
      </c>
      <c r="Q57" s="232">
        <v>56063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122881</v>
      </c>
      <c r="AT57" s="233">
        <v>0</v>
      </c>
      <c r="AU57" s="233">
        <v>480688</v>
      </c>
      <c r="AV57" s="233">
        <v>116507</v>
      </c>
      <c r="AW57" s="289"/>
    </row>
    <row r="58" spans="2:49" x14ac:dyDescent="0.2">
      <c r="B58" s="245" t="s">
        <v>273</v>
      </c>
      <c r="C58" s="203" t="s">
        <v>26</v>
      </c>
      <c r="D58" s="309"/>
      <c r="E58" s="310"/>
      <c r="F58" s="310"/>
      <c r="G58" s="310"/>
      <c r="H58" s="310"/>
      <c r="I58" s="309"/>
      <c r="J58" s="231">
        <v>3987</v>
      </c>
      <c r="K58" s="232">
        <v>3987</v>
      </c>
      <c r="L58" s="232"/>
      <c r="M58" s="232"/>
      <c r="N58" s="232"/>
      <c r="O58" s="231"/>
      <c r="P58" s="231">
        <v>406</v>
      </c>
      <c r="Q58" s="232">
        <v>404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55</v>
      </c>
      <c r="AV58" s="233">
        <v>28</v>
      </c>
      <c r="AW58" s="289"/>
    </row>
    <row r="59" spans="2:49" x14ac:dyDescent="0.2">
      <c r="B59" s="245" t="s">
        <v>274</v>
      </c>
      <c r="C59" s="203" t="s">
        <v>27</v>
      </c>
      <c r="D59" s="231">
        <v>187486</v>
      </c>
      <c r="E59" s="232">
        <v>189064</v>
      </c>
      <c r="F59" s="232"/>
      <c r="G59" s="232"/>
      <c r="H59" s="232"/>
      <c r="I59" s="231">
        <v>137072</v>
      </c>
      <c r="J59" s="231">
        <v>653070</v>
      </c>
      <c r="K59" s="232">
        <v>624026</v>
      </c>
      <c r="L59" s="232"/>
      <c r="M59" s="232"/>
      <c r="N59" s="232"/>
      <c r="O59" s="231"/>
      <c r="P59" s="231">
        <v>602247</v>
      </c>
      <c r="Q59" s="232">
        <v>630986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1174289</v>
      </c>
      <c r="AT59" s="233">
        <v>0</v>
      </c>
      <c r="AU59" s="233">
        <v>5646832</v>
      </c>
      <c r="AV59" s="233">
        <v>1377064</v>
      </c>
      <c r="AW59" s="289"/>
    </row>
    <row r="60" spans="2:49" x14ac:dyDescent="0.2">
      <c r="B60" s="245" t="s">
        <v>275</v>
      </c>
      <c r="C60" s="203"/>
      <c r="D60" s="234">
        <f t="shared" ref="D60:AC60" si="0">D$59/12</f>
        <v>15623.833333333334</v>
      </c>
      <c r="E60" s="235">
        <f t="shared" si="0"/>
        <v>15755.333333333334</v>
      </c>
      <c r="F60" s="235">
        <f t="shared" si="0"/>
        <v>0</v>
      </c>
      <c r="G60" s="235">
        <f t="shared" si="0"/>
        <v>0</v>
      </c>
      <c r="H60" s="235">
        <f t="shared" si="0"/>
        <v>0</v>
      </c>
      <c r="I60" s="234">
        <f t="shared" si="0"/>
        <v>11422.666666666666</v>
      </c>
      <c r="J60" s="234">
        <f t="shared" si="0"/>
        <v>54422.5</v>
      </c>
      <c r="K60" s="235">
        <f t="shared" si="0"/>
        <v>52002.166666666664</v>
      </c>
      <c r="L60" s="235">
        <f t="shared" si="0"/>
        <v>0</v>
      </c>
      <c r="M60" s="235">
        <f t="shared" si="0"/>
        <v>0</v>
      </c>
      <c r="N60" s="235">
        <f t="shared" si="0"/>
        <v>0</v>
      </c>
      <c r="O60" s="234">
        <f t="shared" si="0"/>
        <v>0</v>
      </c>
      <c r="P60" s="234">
        <f t="shared" si="0"/>
        <v>50187.25</v>
      </c>
      <c r="Q60" s="235">
        <f t="shared" si="0"/>
        <v>52582.166666666664</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97857.416666666672</v>
      </c>
      <c r="AT60" s="236">
        <f>AT$59/12</f>
        <v>0</v>
      </c>
      <c r="AU60" s="236">
        <f>AU$59/12</f>
        <v>470569.33333333331</v>
      </c>
      <c r="AV60" s="236">
        <f>AV$59/12</f>
        <v>114755.33333333333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31177939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50992328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52515276</v>
      </c>
      <c r="E5" s="326">
        <v>51957088.4900003</v>
      </c>
      <c r="F5" s="326"/>
      <c r="G5" s="328"/>
      <c r="H5" s="328"/>
      <c r="I5" s="325">
        <v>40931314</v>
      </c>
      <c r="J5" s="325">
        <v>223775533</v>
      </c>
      <c r="K5" s="326">
        <v>222550368.251865</v>
      </c>
      <c r="L5" s="326"/>
      <c r="M5" s="326"/>
      <c r="N5" s="326"/>
      <c r="O5" s="325"/>
      <c r="P5" s="325">
        <v>233959916</v>
      </c>
      <c r="Q5" s="326">
        <v>238901851.72108501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773970436</v>
      </c>
      <c r="AT5" s="327">
        <v>100152</v>
      </c>
      <c r="AU5" s="327">
        <v>4493951546</v>
      </c>
      <c r="AV5" s="369"/>
      <c r="AW5" s="373"/>
    </row>
    <row r="6" spans="2:49" x14ac:dyDescent="0.2">
      <c r="B6" s="343" t="s">
        <v>278</v>
      </c>
      <c r="C6" s="331" t="s">
        <v>8</v>
      </c>
      <c r="D6" s="318">
        <v>102659</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100224</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8750457</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-653013</v>
      </c>
      <c r="E9" s="362"/>
      <c r="F9" s="362"/>
      <c r="G9" s="362"/>
      <c r="H9" s="362"/>
      <c r="I9" s="364"/>
      <c r="J9" s="318">
        <v>-1</v>
      </c>
      <c r="K9" s="362"/>
      <c r="L9" s="362"/>
      <c r="M9" s="362"/>
      <c r="N9" s="362"/>
      <c r="O9" s="364"/>
      <c r="P9" s="318">
        <v>-97355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4824256</v>
      </c>
      <c r="AT9" s="321">
        <v>0</v>
      </c>
      <c r="AU9" s="321">
        <v>-46883978</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-956336</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-8890793</v>
      </c>
      <c r="E11" s="319"/>
      <c r="F11" s="319"/>
      <c r="G11" s="319"/>
      <c r="H11" s="319"/>
      <c r="I11" s="318">
        <v>0</v>
      </c>
      <c r="J11" s="318">
        <v>-266</v>
      </c>
      <c r="K11" s="319"/>
      <c r="L11" s="319"/>
      <c r="M11" s="319"/>
      <c r="N11" s="319"/>
      <c r="O11" s="318"/>
      <c r="P11" s="318">
        <v>363</v>
      </c>
      <c r="Q11" s="319">
        <v>-37223.480000000003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10120150</v>
      </c>
      <c r="AV11" s="368"/>
      <c r="AW11" s="374"/>
    </row>
    <row r="12" spans="2:49" ht="15" customHeight="1" x14ac:dyDescent="0.2">
      <c r="B12" s="343" t="s">
        <v>282</v>
      </c>
      <c r="C12" s="331" t="s">
        <v>44</v>
      </c>
      <c r="D12" s="318">
        <v>-3332300</v>
      </c>
      <c r="E12" s="363"/>
      <c r="F12" s="363"/>
      <c r="G12" s="363"/>
      <c r="H12" s="363"/>
      <c r="I12" s="365"/>
      <c r="J12" s="318">
        <v>2380</v>
      </c>
      <c r="K12" s="363"/>
      <c r="L12" s="363"/>
      <c r="M12" s="363"/>
      <c r="N12" s="363"/>
      <c r="O12" s="365"/>
      <c r="P12" s="318">
        <v>-1054285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-42573823</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6817802.8499999996</v>
      </c>
      <c r="F15" s="319"/>
      <c r="G15" s="319"/>
      <c r="H15" s="319"/>
      <c r="I15" s="318">
        <v>6817803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3404519.29</v>
      </c>
      <c r="F16" s="319"/>
      <c r="G16" s="319"/>
      <c r="H16" s="319"/>
      <c r="I16" s="318">
        <v>3404519</v>
      </c>
      <c r="J16" s="318"/>
      <c r="K16" s="319">
        <v>-1964729.71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9496073.0800000001</v>
      </c>
      <c r="F20" s="319"/>
      <c r="G20" s="319"/>
      <c r="H20" s="319"/>
      <c r="I20" s="318">
        <v>9496073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60415458</v>
      </c>
      <c r="E23" s="362"/>
      <c r="F23" s="362"/>
      <c r="G23" s="362"/>
      <c r="H23" s="362"/>
      <c r="I23" s="364"/>
      <c r="J23" s="318">
        <v>187275010</v>
      </c>
      <c r="K23" s="362"/>
      <c r="L23" s="362"/>
      <c r="M23" s="362"/>
      <c r="N23" s="362"/>
      <c r="O23" s="364"/>
      <c r="P23" s="318">
        <v>183818577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608716920</v>
      </c>
      <c r="AT23" s="321">
        <v>14195</v>
      </c>
      <c r="AU23" s="321">
        <v>3962034119</v>
      </c>
      <c r="AV23" s="368"/>
      <c r="AW23" s="374"/>
    </row>
    <row r="24" spans="2:49" ht="28.5" customHeight="1" x14ac:dyDescent="0.2">
      <c r="B24" s="345" t="s">
        <v>114</v>
      </c>
      <c r="C24" s="331"/>
      <c r="D24" s="365"/>
      <c r="E24" s="319">
        <v>60360558.990000002</v>
      </c>
      <c r="F24" s="319"/>
      <c r="G24" s="319"/>
      <c r="H24" s="319"/>
      <c r="I24" s="318">
        <v>52070205</v>
      </c>
      <c r="J24" s="365"/>
      <c r="K24" s="319">
        <v>189560104.19999999</v>
      </c>
      <c r="L24" s="319"/>
      <c r="M24" s="319"/>
      <c r="N24" s="319"/>
      <c r="O24" s="318"/>
      <c r="P24" s="365"/>
      <c r="Q24" s="319">
        <v>199832587.91999999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7746074</v>
      </c>
      <c r="E26" s="362"/>
      <c r="F26" s="362"/>
      <c r="G26" s="362"/>
      <c r="H26" s="362"/>
      <c r="I26" s="364"/>
      <c r="J26" s="318">
        <v>21821051</v>
      </c>
      <c r="K26" s="362"/>
      <c r="L26" s="362"/>
      <c r="M26" s="362"/>
      <c r="N26" s="362"/>
      <c r="O26" s="364"/>
      <c r="P26" s="318">
        <v>21286809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84751013</v>
      </c>
      <c r="AT26" s="321">
        <v>12</v>
      </c>
      <c r="AU26" s="321">
        <v>371103355</v>
      </c>
      <c r="AV26" s="368"/>
      <c r="AW26" s="374"/>
    </row>
    <row r="27" spans="2:49" s="5" customFormat="1" ht="25.5" x14ac:dyDescent="0.2">
      <c r="B27" s="345" t="s">
        <v>85</v>
      </c>
      <c r="C27" s="331"/>
      <c r="D27" s="365"/>
      <c r="E27" s="319">
        <v>1488979.4535000001</v>
      </c>
      <c r="F27" s="319"/>
      <c r="G27" s="319"/>
      <c r="H27" s="319"/>
      <c r="I27" s="318">
        <v>1376929</v>
      </c>
      <c r="J27" s="365"/>
      <c r="K27" s="319">
        <v>1168361.9245627122</v>
      </c>
      <c r="L27" s="319"/>
      <c r="M27" s="319"/>
      <c r="N27" s="319"/>
      <c r="O27" s="318"/>
      <c r="P27" s="365"/>
      <c r="Q27" s="319">
        <v>2064418.8668960056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9015656</v>
      </c>
      <c r="E28" s="363"/>
      <c r="F28" s="363"/>
      <c r="G28" s="363"/>
      <c r="H28" s="363"/>
      <c r="I28" s="365"/>
      <c r="J28" s="318">
        <v>15787308</v>
      </c>
      <c r="K28" s="363"/>
      <c r="L28" s="363"/>
      <c r="M28" s="363"/>
      <c r="N28" s="363"/>
      <c r="O28" s="365"/>
      <c r="P28" s="318">
        <v>15158401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78402133</v>
      </c>
      <c r="AT28" s="321">
        <v>11743</v>
      </c>
      <c r="AU28" s="321">
        <v>340402632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36022</v>
      </c>
      <c r="K30" s="362"/>
      <c r="L30" s="362"/>
      <c r="M30" s="362"/>
      <c r="N30" s="362"/>
      <c r="O30" s="364"/>
      <c r="P30" s="318">
        <v>2143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-38601.68</v>
      </c>
      <c r="L31" s="319"/>
      <c r="M31" s="319"/>
      <c r="N31" s="319"/>
      <c r="O31" s="318"/>
      <c r="P31" s="365"/>
      <c r="Q31" s="319">
        <v>-17827.41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74624</v>
      </c>
      <c r="K32" s="363"/>
      <c r="L32" s="363"/>
      <c r="M32" s="363"/>
      <c r="N32" s="363"/>
      <c r="O32" s="365"/>
      <c r="P32" s="318">
        <v>19835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1280265</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1280265.04</v>
      </c>
      <c r="F35" s="319"/>
      <c r="G35" s="319"/>
      <c r="H35" s="319"/>
      <c r="I35" s="318">
        <v>0</v>
      </c>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6080143</v>
      </c>
      <c r="E36" s="319">
        <v>6080142.5499999998</v>
      </c>
      <c r="F36" s="319"/>
      <c r="G36" s="319"/>
      <c r="H36" s="319"/>
      <c r="I36" s="318">
        <v>0</v>
      </c>
      <c r="J36" s="318">
        <v>0</v>
      </c>
      <c r="K36" s="319"/>
      <c r="L36" s="319"/>
      <c r="M36" s="319"/>
      <c r="N36" s="319"/>
      <c r="O36" s="318"/>
      <c r="P36" s="318">
        <v>0</v>
      </c>
      <c r="Q36" s="319">
        <v>-0.04</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-653013</v>
      </c>
      <c r="E38" s="362"/>
      <c r="F38" s="362"/>
      <c r="G38" s="362"/>
      <c r="H38" s="362"/>
      <c r="I38" s="364"/>
      <c r="J38" s="318">
        <v>-1</v>
      </c>
      <c r="K38" s="362"/>
      <c r="L38" s="362"/>
      <c r="M38" s="362"/>
      <c r="N38" s="362"/>
      <c r="O38" s="364"/>
      <c r="P38" s="318">
        <v>-97355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4824256</v>
      </c>
      <c r="AT38" s="321">
        <v>0</v>
      </c>
      <c r="AU38" s="321">
        <v>-46883978</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-956336</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-8890793</v>
      </c>
      <c r="E41" s="362"/>
      <c r="F41" s="362"/>
      <c r="G41" s="362"/>
      <c r="H41" s="362"/>
      <c r="I41" s="364"/>
      <c r="J41" s="318">
        <v>-266</v>
      </c>
      <c r="K41" s="362"/>
      <c r="L41" s="362"/>
      <c r="M41" s="362"/>
      <c r="N41" s="362"/>
      <c r="O41" s="364"/>
      <c r="P41" s="318">
        <v>363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10120150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-37223.480000000003</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-3332300</v>
      </c>
      <c r="E43" s="363"/>
      <c r="F43" s="363"/>
      <c r="G43" s="363"/>
      <c r="H43" s="363"/>
      <c r="I43" s="365"/>
      <c r="J43" s="318">
        <v>2380</v>
      </c>
      <c r="K43" s="363"/>
      <c r="L43" s="363"/>
      <c r="M43" s="363"/>
      <c r="N43" s="363"/>
      <c r="O43" s="365"/>
      <c r="P43" s="318">
        <v>-1054285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-42573823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2165803</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1654575</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1286631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408945</v>
      </c>
      <c r="E49" s="319">
        <v>1157143.79</v>
      </c>
      <c r="F49" s="319"/>
      <c r="G49" s="319"/>
      <c r="H49" s="319"/>
      <c r="I49" s="318">
        <v>941414</v>
      </c>
      <c r="J49" s="318">
        <v>2798941</v>
      </c>
      <c r="K49" s="319">
        <v>6509131.8383032465</v>
      </c>
      <c r="L49" s="319"/>
      <c r="M49" s="319"/>
      <c r="N49" s="319"/>
      <c r="O49" s="318"/>
      <c r="P49" s="318">
        <v>721627</v>
      </c>
      <c r="Q49" s="319">
        <v>6130946.9879915118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-262</v>
      </c>
      <c r="AU49" s="321">
        <v>54722296</v>
      </c>
      <c r="AV49" s="368"/>
      <c r="AW49" s="374"/>
    </row>
    <row r="50" spans="2:49" x14ac:dyDescent="0.2">
      <c r="B50" s="343" t="s">
        <v>119</v>
      </c>
      <c r="C50" s="331" t="s">
        <v>34</v>
      </c>
      <c r="D50" s="318">
        <v>141061</v>
      </c>
      <c r="E50" s="363"/>
      <c r="F50" s="363"/>
      <c r="G50" s="363"/>
      <c r="H50" s="363"/>
      <c r="I50" s="365"/>
      <c r="J50" s="318">
        <v>1142127</v>
      </c>
      <c r="K50" s="363"/>
      <c r="L50" s="363"/>
      <c r="M50" s="363"/>
      <c r="N50" s="363"/>
      <c r="O50" s="365"/>
      <c r="P50" s="318">
        <v>693718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32560699</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95730.165001763744</v>
      </c>
      <c r="L53" s="319"/>
      <c r="M53" s="319"/>
      <c r="N53" s="319"/>
      <c r="O53" s="318"/>
      <c r="P53" s="318">
        <v>0</v>
      </c>
      <c r="Q53" s="319">
        <v>179903.1971909182</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47866608</v>
      </c>
      <c r="E54" s="323">
        <f>E24+E27+E31+E35-E36+E39+E42+E45+E46-E49+E51+E52+E53</f>
        <v>55892517.143500008</v>
      </c>
      <c r="F54" s="323">
        <f>F24+F27+F31+F35-F36+F39+F42+F45+F46-F49+F51+F52+F53</f>
        <v>0</v>
      </c>
      <c r="G54" s="323">
        <f>G24+G27+G31+G35-G36+G39+G42+G45+G46-G49+G51+G52+G53</f>
        <v>0</v>
      </c>
      <c r="H54" s="323">
        <f>H24+H27+H31+H35-H36+H39+H42+H45+H46-H49+H51+H52+H53</f>
        <v>0</v>
      </c>
      <c r="I54" s="322">
        <f>I24+I27+I31+I35-I36+I39+I42+I45+I46-I49+I51+I52+I53</f>
        <v>52505720</v>
      </c>
      <c r="J54" s="322">
        <f>J23+J26-J28+J30-J32+J34-J36+J38+J41-J43+J45+J46-J47-J49+J50+J51+J52+J53</f>
        <v>191610690</v>
      </c>
      <c r="K54" s="323">
        <f>K24+K27+K31+K35-K36+K39+K42+K45+K46-K49+K51+K52+K53</f>
        <v>184276462.77126122</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190858677</v>
      </c>
      <c r="Q54" s="323">
        <f>Q24+Q27+Q31+Q35-Q36+Q39+Q42+Q45+Q46-Q49+Q51+Q52+Q53</f>
        <v>194934576.1460954</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619890056</v>
      </c>
      <c r="AT54" s="324">
        <f>AT23+AT26-AT28+AT30-AT32+AT34-AT36+AT38+AT41-AT43+AT45+AT46-AT47-AT49+AT50+AT51+AT52+AT53</f>
        <v>2726</v>
      </c>
      <c r="AU54" s="324">
        <f>AU23+AU26-AU28+AU30-AU32+AU34-AU36+AU38+AU41-AU43+AU45+AU46-AU47-AU49+AU50+AU51+AU52+AU53</f>
        <v>3978916987</v>
      </c>
      <c r="AV54" s="368"/>
      <c r="AW54" s="374"/>
    </row>
    <row r="55" spans="2:49" ht="25.5" x14ac:dyDescent="0.2">
      <c r="B55" s="348" t="s">
        <v>493</v>
      </c>
      <c r="C55" s="335" t="s">
        <v>28</v>
      </c>
      <c r="D55" s="322">
        <f t="shared" ref="D55:AC55" si="0">MIN(MAX(0,D56),MAX(0,D57))</f>
        <v>85859</v>
      </c>
      <c r="E55" s="323">
        <f t="shared" si="0"/>
        <v>85858.95</v>
      </c>
      <c r="F55" s="323">
        <f t="shared" si="0"/>
        <v>0</v>
      </c>
      <c r="G55" s="323">
        <f t="shared" si="0"/>
        <v>0</v>
      </c>
      <c r="H55" s="323">
        <f t="shared" si="0"/>
        <v>0</v>
      </c>
      <c r="I55" s="322">
        <f t="shared" si="0"/>
        <v>45744</v>
      </c>
      <c r="J55" s="322">
        <f t="shared" si="0"/>
        <v>254653</v>
      </c>
      <c r="K55" s="323">
        <f t="shared" si="0"/>
        <v>254652.7</v>
      </c>
      <c r="L55" s="323">
        <f t="shared" si="0"/>
        <v>0</v>
      </c>
      <c r="M55" s="323">
        <f t="shared" si="0"/>
        <v>0</v>
      </c>
      <c r="N55" s="323">
        <f t="shared" si="0"/>
        <v>0</v>
      </c>
      <c r="O55" s="322">
        <f t="shared" si="0"/>
        <v>0</v>
      </c>
      <c r="P55" s="322">
        <f t="shared" si="0"/>
        <v>365574.72</v>
      </c>
      <c r="Q55" s="323">
        <f t="shared" si="0"/>
        <v>373317.73462860193</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94593.03</v>
      </c>
      <c r="E56" s="319">
        <v>94593.03</v>
      </c>
      <c r="F56" s="319"/>
      <c r="G56" s="319"/>
      <c r="H56" s="319"/>
      <c r="I56" s="318">
        <v>73160</v>
      </c>
      <c r="J56" s="318">
        <v>347408.19</v>
      </c>
      <c r="K56" s="319">
        <v>339665.1753713981</v>
      </c>
      <c r="L56" s="319"/>
      <c r="M56" s="319"/>
      <c r="N56" s="319"/>
      <c r="O56" s="318"/>
      <c r="P56" s="318">
        <v>365574.72</v>
      </c>
      <c r="Q56" s="319">
        <v>373317.73462860193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85859</v>
      </c>
      <c r="E57" s="319">
        <v>85858.95</v>
      </c>
      <c r="F57" s="319"/>
      <c r="G57" s="319"/>
      <c r="H57" s="319"/>
      <c r="I57" s="318">
        <v>45744</v>
      </c>
      <c r="J57" s="318">
        <v>254653</v>
      </c>
      <c r="K57" s="319">
        <v>254652.7</v>
      </c>
      <c r="L57" s="319"/>
      <c r="M57" s="319"/>
      <c r="N57" s="319"/>
      <c r="O57" s="318"/>
      <c r="P57" s="318">
        <v>584379</v>
      </c>
      <c r="Q57" s="319">
        <v>584378.55000000005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269</v>
      </c>
      <c r="AU57" s="321">
        <v>24332406</v>
      </c>
      <c r="AV57" s="321">
        <v>0</v>
      </c>
      <c r="AW57" s="374"/>
    </row>
    <row r="58" spans="2:49" s="5" customFormat="1" x14ac:dyDescent="0.2">
      <c r="B58" s="351" t="s">
        <v>494</v>
      </c>
      <c r="C58" s="352"/>
      <c r="D58" s="353"/>
      <c r="E58" s="354">
        <v>1515331.01</v>
      </c>
      <c r="F58" s="354"/>
      <c r="G58" s="354"/>
      <c r="H58" s="354"/>
      <c r="I58" s="353">
        <v>1930347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32731419.329999998</v>
      </c>
      <c r="D5" s="403">
        <v>65011188.079999998</v>
      </c>
      <c r="E5" s="454"/>
      <c r="F5" s="454"/>
      <c r="G5" s="448"/>
      <c r="H5" s="402">
        <v>107946966.17</v>
      </c>
      <c r="I5" s="403">
        <v>144225584.69999999</v>
      </c>
      <c r="J5" s="454"/>
      <c r="K5" s="454"/>
      <c r="L5" s="448"/>
      <c r="M5" s="402">
        <v>209302343.62</v>
      </c>
      <c r="N5" s="403">
        <v>176331663.24000001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32536307.113899998</v>
      </c>
      <c r="D6" s="398">
        <v>64485445.801600002</v>
      </c>
      <c r="E6" s="400">
        <f>SUM('Pt 1 Summary of Data'!E$12,'Pt 1 Summary of Data'!E$22)+SUM('Pt 1 Summary of Data'!G$12,'Pt 1 Summary of Data'!G$22)-SUM('Pt 1 Summary of Data'!H$12,'Pt 1 Summary of Data'!H$22)</f>
        <v>55978376.093500011</v>
      </c>
      <c r="F6" s="400">
        <f t="shared" ref="F6:F11" si="0">SUM(C6:E6)</f>
        <v>153000129.009</v>
      </c>
      <c r="G6" s="401">
        <f>SUM('Pt 1 Summary of Data'!I$12,'Pt 1 Summary of Data'!I$22)</f>
        <v>52551464</v>
      </c>
      <c r="H6" s="397">
        <v>107892556.90795384</v>
      </c>
      <c r="I6" s="398">
        <v>141850345.75094929</v>
      </c>
      <c r="J6" s="400">
        <f>SUM('Pt 1 Summary of Data'!K$12,'Pt 1 Summary of Data'!K$22)+SUM('Pt 1 Summary of Data'!M$12,'Pt 1 Summary of Data'!M$22)-SUM('Pt 1 Summary of Data'!N$12,'Pt 1 Summary of Data'!N$22)</f>
        <v>184531115.4712612</v>
      </c>
      <c r="K6" s="400">
        <f>SUM(H6:J6)</f>
        <v>434274018.13016433</v>
      </c>
      <c r="L6" s="401">
        <f>SUM('Pt 1 Summary of Data'!O$12,'Pt 1 Summary of Data'!O$22)</f>
        <v>0</v>
      </c>
      <c r="M6" s="397">
        <v>208959051.10517877</v>
      </c>
      <c r="N6" s="398">
        <v>178109251.89283758</v>
      </c>
      <c r="O6" s="400">
        <f>SUM('Pt 1 Summary of Data'!Q$12,'Pt 1 Summary of Data'!Q$22)+SUM('Pt 1 Summary of Data'!S$12,'Pt 1 Summary of Data'!S$22)-SUM('Pt 1 Summary of Data'!T$12,'Pt 1 Summary of Data'!T$22)</f>
        <v>195307893.88072398</v>
      </c>
      <c r="P6" s="400">
        <f>SUM(M6:O6)</f>
        <v>582376196.87874031</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941487.57</v>
      </c>
      <c r="D7" s="398">
        <v>877126.77</v>
      </c>
      <c r="E7" s="400">
        <f>SUM('Pt 1 Summary of Data'!E$37:E$41)+SUM('Pt 1 Summary of Data'!G$37:G$41)-SUM('Pt 1 Summary of Data'!H$37:H$41)+MAX(0,MIN('Pt 1 Summary of Data'!E$42+'Pt 1 Summary of Data'!G$42-'Pt 1 Summary of Data'!H$42,0.3%*('Pt 1 Summary of Data'!E$5+'Pt 1 Summary of Data'!G$5-'Pt 1 Summary of Data'!H$5-SUM(E$9:E$11))))</f>
        <v>499777.32</v>
      </c>
      <c r="F7" s="400">
        <f t="shared" si="0"/>
        <v>2318391.6599999997</v>
      </c>
      <c r="G7" s="401">
        <f>SUM('Pt 1 Summary of Data'!I$37:I$41)+MAX(0,MIN(VALUE('Pt 1 Summary of Data'!I$42),0.3%*('Pt 1 Summary of Data'!I$5-SUM(G$9:G$10))))</f>
        <v>320517</v>
      </c>
      <c r="H7" s="397">
        <v>3445861.98</v>
      </c>
      <c r="I7" s="398">
        <v>3651703.02</v>
      </c>
      <c r="J7" s="400">
        <f>SUM('Pt 1 Summary of Data'!K$37:K$41)+SUM('Pt 1 Summary of Data'!M$37:M$41)-SUM('Pt 1 Summary of Data'!N$37:N$41)+MAX(0,MIN('Pt 1 Summary of Data'!K$42+'Pt 1 Summary of Data'!M$42-'Pt 1 Summary of Data'!N$42,0.3%*('Pt 1 Summary of Data'!K$5+'Pt 1 Summary of Data'!M$5-'Pt 1 Summary of Data'!N$5-SUM(J$10:J$11))))</f>
        <v>3711715.6617485709</v>
      </c>
      <c r="K7" s="400">
        <f>SUM(H7:J7)</f>
        <v>10809280.661748571</v>
      </c>
      <c r="L7" s="401">
        <f>SUM('Pt 1 Summary of Data'!O$37:O$41)+MAX(0,MIN(VALUE('Pt 1 Summary of Data'!O$42),0.3%*('Pt 1 Summary of Data'!O$5-L$10)))</f>
        <v>0</v>
      </c>
      <c r="M7" s="397">
        <v>5782703.4900000002</v>
      </c>
      <c r="N7" s="398">
        <v>4391445.51</v>
      </c>
      <c r="O7" s="400">
        <f>SUM('Pt 1 Summary of Data'!Q$37:Q$41)+SUM('Pt 1 Summary of Data'!S$37:S$41)-SUM('Pt 1 Summary of Data'!T$37:T$41)+MAX(0,MIN('Pt 1 Summary of Data'!Q$42+'Pt 1 Summary of Data'!S$42-'Pt 1 Summary of Data'!T$42,0.3%*('Pt 1 Summary of Data'!Q$5+'Pt 1 Summary of Data'!S$5-'Pt 1 Summary of Data'!T$5)))</f>
        <v>4331120.1882514292</v>
      </c>
      <c r="P7" s="400">
        <f>SUM(M7:O7)</f>
        <v>14505269.188251428</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1932162.41</v>
      </c>
      <c r="E8" s="400">
        <f>'Pt 2 Premium and Claims'!E58+'Pt 2 Premium and Claims'!G58-'Pt 2 Premium and Claims'!H58</f>
        <v>1515331.01</v>
      </c>
      <c r="F8" s="400">
        <f t="shared" si="0"/>
        <v>3447493.42</v>
      </c>
      <c r="G8" s="401">
        <f>'Pt 2 Premium and Claims'!I58</f>
        <v>1930347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7877805.71</v>
      </c>
      <c r="E9" s="400">
        <f>'Pt 2 Premium and Claims'!E$15+'Pt 2 Premium and Claims'!G$15-'Pt 2 Premium and Claims'!H$15</f>
        <v>6817802.8499999996</v>
      </c>
      <c r="F9" s="400">
        <f t="shared" si="0"/>
        <v>14695608.559999999</v>
      </c>
      <c r="G9" s="401">
        <f>'Pt 2 Premium and Claims'!I$15</f>
        <v>6817803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1152387.48</v>
      </c>
      <c r="E10" s="400">
        <f>'Pt 2 Premium and Claims'!E$16+'Pt 2 Premium and Claims'!G$16-'Pt 2 Premium and Claims'!H$16</f>
        <v>3404519.29</v>
      </c>
      <c r="F10" s="400">
        <f t="shared" si="0"/>
        <v>4556906.7699999996</v>
      </c>
      <c r="G10" s="401">
        <f>'Pt 2 Premium and Claims'!I$16</f>
        <v>3404519</v>
      </c>
      <c r="H10" s="443"/>
      <c r="I10" s="398">
        <v>-1929958.7</v>
      </c>
      <c r="J10" s="400">
        <f>'Pt 2 Premium and Claims'!K$16+'Pt 2 Premium and Claims'!M$16-'Pt 2 Premium and Claims'!N$16</f>
        <v>-1964729.71</v>
      </c>
      <c r="K10" s="400">
        <f>SUM(H10:J10)</f>
        <v>-3894688.41</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732133.87230000005</v>
      </c>
      <c r="E11" s="400">
        <f>'Pt 2 Premium and Claims'!E$17+'Pt 2 Premium and Claims'!G$17-'Pt 2 Premium and Claims'!H$17</f>
        <v>0</v>
      </c>
      <c r="F11" s="400">
        <f t="shared" si="0"/>
        <v>732133.87230000005</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33477794.683899999</v>
      </c>
      <c r="D12" s="400">
        <f>SUM(D$6:D$7) - SUM(D$8:D$11)+IF(AND(OR('Company Information'!$C$12="District of Columbia",'Company Information'!$C$12="Massachusetts",'Company Information'!$C$12="Vermont"),SUM($C$6:$F$11,$C$15:$F$16,$C$38:$D$38)&lt;&gt;0),SUM(I$6:I$7) - SUM(I$10:I$11),0)</f>
        <v>53668083.099300005</v>
      </c>
      <c r="E12" s="400">
        <f>SUM(E$6:E$7)-SUM(E$8:E$11)+IF(AND(OR('Company Information'!$C$12="District of Columbia",'Company Information'!$C$12="Massachusetts",'Company Information'!$C$12="Vermont"),SUM($C$6:$F$11,$C$15:$F$16,$C$38:$D$38)&lt;&gt;0),SUM(J$6:J$7)-SUM(J$10:J$11),0)</f>
        <v>44740500.263500012</v>
      </c>
      <c r="F12" s="400">
        <f>IFERROR(SUM(C$12:E$12)+C$17*MAX(0,E$50-C$50)+D$17*MAX(0,E$50-D$50),0)</f>
        <v>131886378.0467</v>
      </c>
      <c r="G12" s="447"/>
      <c r="H12" s="399">
        <f>SUM(H$6:H$7)+IF(AND(OR('Company Information'!$C$12="District of Columbia",'Company Information'!$C$12="Massachusetts",'Company Information'!$C$12="Vermont"),SUM($H$6:$K$11,$H$15:$K$16,$H$38:$I$38)&lt;&gt;0),SUM(C$6:C$7),0)</f>
        <v>111338418.88795385</v>
      </c>
      <c r="I12" s="400">
        <f>SUM(I$6:I$7) - SUM(I$10:I$11)+IF(AND(OR('Company Information'!$C$12="District of Columbia",'Company Information'!$C$12="Massachusetts",'Company Information'!$C$12="Vermont"),SUM($H$6:$K$11,$H$15:$K$16,$H$38:$I$38)&lt;&gt;0),SUM(D$6:D$7) - SUM(D$8:D$11),0)</f>
        <v>147432007.47094929</v>
      </c>
      <c r="J12" s="400">
        <f>SUM(J$6:J$7)-SUM(J$10:J$11)+IF(AND(OR('Company Information'!$C$12="District of Columbia",'Company Information'!$C$12="Massachusetts",'Company Information'!$C$12="Vermont"),SUM($H$6:$K$11,$H$15:$K$16,$H$38:$I$38)&lt;&gt;0),SUM(E$6:E$7)-SUM(E$8:E$11),0)</f>
        <v>190207560.84300977</v>
      </c>
      <c r="K12" s="400">
        <f>IFERROR(SUM(H$12:J$12)+H$17*MAX(0,J$50-H$50)+I$17*MAX(0,J$50-I$50),0)</f>
        <v>448977987.20191288</v>
      </c>
      <c r="L12" s="447"/>
      <c r="M12" s="399">
        <f>SUM(M$6:M$7)</f>
        <v>214741754.59517878</v>
      </c>
      <c r="N12" s="400">
        <f>SUM(N$6:N$7)</f>
        <v>182500697.40283757</v>
      </c>
      <c r="O12" s="400">
        <f>SUM(O$6:O$7)</f>
        <v>199639014.06897542</v>
      </c>
      <c r="P12" s="400">
        <f>SUM(M$12:O$12)+M$17*MAX(0,O$50-M$50)+N$17*MAX(0,O$50-N$50)</f>
        <v>596881466.06699181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37984235.75</v>
      </c>
      <c r="D15" s="403">
        <v>60004177.090000004</v>
      </c>
      <c r="E15" s="395">
        <f>SUM('Pt 1 Summary of Data'!E$5:E$7)+SUM('Pt 1 Summary of Data'!G$5:G$7)-SUM('Pt 1 Summary of Data'!H$5:H$7)-SUM(E$9:E$11)</f>
        <v>51957088.4900003</v>
      </c>
      <c r="F15" s="395">
        <f>SUM(C15:E15)</f>
        <v>149945501.33000031</v>
      </c>
      <c r="G15" s="396">
        <f>SUM('Pt 1 Summary of Data'!I$5:I$7)-SUM(G$9:G$10)</f>
        <v>40931314</v>
      </c>
      <c r="H15" s="402">
        <v>138055519.81999999</v>
      </c>
      <c r="I15" s="403">
        <v>172467064.38999999</v>
      </c>
      <c r="J15" s="395">
        <f>SUM('Pt 1 Summary of Data'!K$5:K$7)+SUM('Pt 1 Summary of Data'!M$5:M$7)-SUM('Pt 1 Summary of Data'!N$5:N$7)-SUM(J$10:J$11)</f>
        <v>222550368.061865</v>
      </c>
      <c r="K15" s="395">
        <f>SUM(H15:J15)</f>
        <v>533072952.27186501</v>
      </c>
      <c r="L15" s="396">
        <f>SUM('Pt 1 Summary of Data'!O$5:O$7)-L$10</f>
        <v>0</v>
      </c>
      <c r="M15" s="402">
        <v>260838214.78</v>
      </c>
      <c r="N15" s="403">
        <v>228660583.50999999</v>
      </c>
      <c r="O15" s="395">
        <f>SUM('Pt 1 Summary of Data'!Q$5:Q$7)+SUM('Pt 1 Summary of Data'!S$5:S$7)-SUM('Pt 1 Summary of Data'!T$5:T$7)+N$56</f>
        <v>238901851.91108501</v>
      </c>
      <c r="P15" s="395">
        <f>SUM(M15:O15)</f>
        <v>728400650.20108497</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-1418584.41</v>
      </c>
      <c r="D16" s="398">
        <v>1474649.64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2621320.88041184</v>
      </c>
      <c r="F16" s="400">
        <f>SUM(C16:E16)</f>
        <v>2677386.11041184</v>
      </c>
      <c r="G16" s="401">
        <f>SUM('Pt 1 Summary of Data'!I$25:I$28,'Pt 1 Summary of Data'!I$30,'Pt 1 Summary of Data'!I$34:I$35)+IF('Company Information'!$C$15="No",IF(MAX('Pt 1 Summary of Data'!I$31:I$32)=0,MIN('Pt 1 Summary of Data'!I$31:I$32),MAX('Pt 1 Summary of Data'!I$31:I$32)),SUM('Pt 1 Summary of Data'!I$31:I$32))</f>
        <v>-191544</v>
      </c>
      <c r="H16" s="397">
        <v>1427040.26</v>
      </c>
      <c r="I16" s="398">
        <v>3682020.87</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3627805.8205589829</v>
      </c>
      <c r="K16" s="400">
        <f>SUM(H16:J16)</f>
        <v>8736866.9505589828</v>
      </c>
      <c r="L16" s="401">
        <f>SUM('Pt 1 Summary of Data'!O$25:O$28,'Pt 1 Summary of Data'!O$30,'Pt 1 Summary of Data'!O$34:O$35)+IF('Company Information'!$C$15="No",IF(MAX('Pt 1 Summary of Data'!O$31:O$32)=0,MIN('Pt 1 Summary of Data'!O$31:O$32),MAX('Pt 1 Summary of Data'!O$31:O$32)),SUM('Pt 1 Summary of Data'!O$31:O$32))</f>
        <v>0</v>
      </c>
      <c r="M16" s="397">
        <v>5406423.3899999997</v>
      </c>
      <c r="N16" s="398">
        <v>13915294.51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17812401.674738802</v>
      </c>
      <c r="P16" s="400">
        <f>SUM(M16:O16)</f>
        <v>37134119.574738801</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39402820.159999996</v>
      </c>
      <c r="D17" s="400">
        <f>D$15-D$16+IF(AND(OR('Company Information'!$C$12="District of Columbia",'Company Information'!$C$12="Massachusetts",'Company Information'!$C$12="Vermont"),SUM($C$6:$F$11,$C$15:$F$16,$C$38:$D$38)&lt;&gt;0),I$15-I$16,0)</f>
        <v>58529527.450000003</v>
      </c>
      <c r="E17" s="400">
        <f>E$15-E$16+IF(AND(OR('Company Information'!$C$12="District of Columbia",'Company Information'!$C$12="Massachusetts",'Company Information'!$C$12="Vermont"),SUM($C$6:$F$11,$C$15:$F$16,$C$38:$D$38)&lt;&gt;0),J$15-J$16,0)</f>
        <v>49335767.609588459</v>
      </c>
      <c r="F17" s="400">
        <f>F$15-F$16+IF(AND(OR('Company Information'!$C$12="District of Columbia",'Company Information'!$C$12="Massachusetts",'Company Information'!$C$12="Vermont"),SUM($C$6:$F$11,$C$15:$F$16,$C$38:$D$38)&lt;&gt;0),K$15-K$16,0)</f>
        <v>147268115.21958846</v>
      </c>
      <c r="G17" s="450"/>
      <c r="H17" s="399">
        <f>H$15-H$16+IF(AND(OR('Company Information'!$C$12="District of Columbia",'Company Information'!$C$12="Massachusetts",'Company Information'!$C$12="Vermont"),SUM($H$6:$K$11,$H$15:$K$16,$H$38:$I$38)&lt;&gt;0),C$15-C$16,0)</f>
        <v>136628479.56</v>
      </c>
      <c r="I17" s="400">
        <f>I$15-I$16+IF(AND(OR('Company Information'!$C$12="District of Columbia",'Company Information'!$C$12="Massachusetts",'Company Information'!$C$12="Vermont"),SUM($H$6:$K$11,$H$15:$K$16,$H$38:$I$38)&lt;&gt;0),D$15-D$16,0)</f>
        <v>168785043.51999998</v>
      </c>
      <c r="J17" s="400">
        <f>J$15-J$16+IF(AND(OR('Company Information'!$C$12="District of Columbia",'Company Information'!$C$12="Massachusetts",'Company Information'!$C$12="Vermont"),SUM($H$6:$K$11,$H$15:$K$16,$H$38:$I$38)&lt;&gt;0),E$15-E$16,0)</f>
        <v>218922562.24130601</v>
      </c>
      <c r="K17" s="400">
        <f>K$15-K$16+IF(AND(OR('Company Information'!$C$12="District of Columbia",'Company Information'!$C$12="Massachusetts",'Company Information'!$C$12="Vermont"),SUM($H$6:$K$11,$H$15:$K$16,$H$38:$I$38)&lt;&gt;0),F$15-F$16,0)</f>
        <v>524336085.32130605</v>
      </c>
      <c r="L17" s="450"/>
      <c r="M17" s="399">
        <f>M$15-M$16</f>
        <v>255431791.39000002</v>
      </c>
      <c r="N17" s="400">
        <f>N$15-N$16</f>
        <v>214745289</v>
      </c>
      <c r="O17" s="400">
        <f>O$15-O$16</f>
        <v>221089450.23634622</v>
      </c>
      <c r="P17" s="400">
        <f>P$15-P$16</f>
        <v>691266530.62634611</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40020069</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5470594</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2056142.9000000001</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-4367805</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2056142.9000000001</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1233685.74</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7335192.9000000004</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7335192.9000000004</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8855484.7599999998</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33596121.100000001</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6512735.7400000002</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1233685.74</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6512735.7400000002</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8033027.6000000006</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34418578.259999998</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1.1627461395321448</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3138868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2035126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20547</v>
      </c>
      <c r="D38" s="405">
        <v>25159.919999999998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15755.333333333334</v>
      </c>
      <c r="F38" s="432">
        <f>SUM(C$38:E$38)+IF(AND(OR('Company Information'!$C$12="District of Columbia",'Company Information'!$C$12="Massachusetts",'Company Information'!$C$12="Vermont"),SUM($C$6:$F$11,$C$15:$F$16,$C$38:$D$38)&lt;&gt;0,SUM(C$38:D$38)&lt;&gt;SUM(H$38:I$38)),SUM(H$38:I$38),0)</f>
        <v>61462.253333333334</v>
      </c>
      <c r="G38" s="448"/>
      <c r="H38" s="404">
        <v>38617</v>
      </c>
      <c r="I38" s="405">
        <v>45623.5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52002.166666666664</v>
      </c>
      <c r="K38" s="432">
        <f>SUM(H$38:J$38)+IF(AND(OR('Company Information'!$C$12="District of Columbia",'Company Information'!$C$12="Massachusetts",'Company Information'!$C$12="Vermont"),SUM($H$6:$K$11,$H$15:$K$16,$H$38:$I$38)&lt;&gt;0,SUM(H$38:I$38)&lt;&gt;SUM(C$38:D$38)),SUM(C$38:D$38),0)</f>
        <v>136242.66666666666</v>
      </c>
      <c r="L38" s="448"/>
      <c r="M38" s="404">
        <v>61906</v>
      </c>
      <c r="N38" s="405">
        <v>51329.919999999998</v>
      </c>
      <c r="O38" s="432">
        <f>('Pt 1 Summary of Data'!Q$59+'Pt 1 Summary of Data'!S$59-'Pt 1 Summary of Data'!T$59)/12</f>
        <v>52582.166666666664</v>
      </c>
      <c r="P38" s="432">
        <f>SUM(M$38:O$38)</f>
        <v>165818.08666666667</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6.4981183999999999E-3</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11915</v>
      </c>
      <c r="G40" s="447"/>
      <c r="H40" s="443"/>
      <c r="I40" s="441"/>
      <c r="J40" s="441"/>
      <c r="K40" s="398">
        <v>1946</v>
      </c>
      <c r="L40" s="447"/>
      <c r="M40" s="443"/>
      <c r="N40" s="441"/>
      <c r="O40" s="441"/>
      <c r="P40" s="398">
        <v>2106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1.736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1.1280733542399999E-2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0.84962940591458425</v>
      </c>
      <c r="D45" s="436">
        <f>IF(OR(D$38&lt;1000,D$17&lt;=0),"",D$12/D$17)</f>
        <v>0.91694031094214823</v>
      </c>
      <c r="E45" s="436">
        <f>IF(OR(E$38&lt;1000,E$17&lt;=0),"",E$12/E$17)</f>
        <v>0.90685728491238982</v>
      </c>
      <c r="F45" s="436">
        <f>IF(OR(F$38&lt;1000,F$17&lt;=0),"",F$12/F$17)</f>
        <v>0.89555283470591673</v>
      </c>
      <c r="G45" s="447"/>
      <c r="H45" s="438">
        <f>IF(OR(H$38&lt;1000,H$17&lt;=0),"",H$12/H$17)</f>
        <v>0.81489905506164917</v>
      </c>
      <c r="I45" s="436">
        <f>IF(OR(I$38&lt;1000,I$17&lt;=0),"",I$12/I$17)</f>
        <v>0.87348976186672322</v>
      </c>
      <c r="J45" s="436">
        <f>IF(OR(J$38&lt;1000,J$17&lt;=0),"",J$12/J$17)</f>
        <v>0.86883489255600199</v>
      </c>
      <c r="K45" s="436">
        <f>IF(OR(K$38&lt;1000,K$17&lt;=0),"",K$12/K$17)</f>
        <v>0.85627901601848599</v>
      </c>
      <c r="L45" s="447"/>
      <c r="M45" s="438">
        <f>IF(OR(M$38&lt;1000,M$17&lt;=0),"",M$12/M$17)</f>
        <v>0.84070096923567905</v>
      </c>
      <c r="N45" s="436">
        <f>IF(OR(N$38&lt;1000,N$17&lt;=0),"",N$12/N$17)</f>
        <v>0.84984726907251307</v>
      </c>
      <c r="O45" s="436">
        <f>IF(OR(O$38&lt;1000,O$17&lt;=0),"",O$12/O$17)</f>
        <v>0.90297847253932684</v>
      </c>
      <c r="P45" s="436">
        <f>IF(OR(P$38&lt;1000,P$17&lt;=0),"",P$12/P$17)</f>
        <v>0.86346067634168044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1.1280733542399999E-2</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0.90700000000000003</v>
      </c>
      <c r="G48" s="447"/>
      <c r="H48" s="443"/>
      <c r="I48" s="441"/>
      <c r="J48" s="441"/>
      <c r="K48" s="436">
        <f>IF(K$45="","",ROUND(K$45+MAX(0,K$47),3))</f>
        <v>0.85599999999999998</v>
      </c>
      <c r="L48" s="447"/>
      <c r="M48" s="443"/>
      <c r="N48" s="441"/>
      <c r="O48" s="441"/>
      <c r="P48" s="436">
        <f>IF(P$45="","",ROUND(P$45+MAX(0,P$47),3))</f>
        <v>0.86299999999999999</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0.90700000000000003</v>
      </c>
      <c r="G51" s="447"/>
      <c r="H51" s="444"/>
      <c r="I51" s="442"/>
      <c r="J51" s="442"/>
      <c r="K51" s="436">
        <f>K$48</f>
        <v>0.85599999999999998</v>
      </c>
      <c r="L51" s="447"/>
      <c r="M51" s="444"/>
      <c r="N51" s="442"/>
      <c r="O51" s="442"/>
      <c r="P51" s="436">
        <f>P$48</f>
        <v>0.86299999999999999</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49335767.609588459</v>
      </c>
      <c r="G52" s="447"/>
      <c r="H52" s="443"/>
      <c r="I52" s="441"/>
      <c r="J52" s="441"/>
      <c r="K52" s="400">
        <f>IF(K$38&lt;1000,"",MAX(0,J$15-J$16))</f>
        <v>218922562.24130601</v>
      </c>
      <c r="L52" s="447"/>
      <c r="M52" s="443"/>
      <c r="N52" s="441"/>
      <c r="O52" s="441"/>
      <c r="P52" s="400">
        <f>IF(P$38&lt;1000,"",MAX(0,O$15-O$16))</f>
        <v>221089450.23634622</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-699243</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44025909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43326666</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8456</v>
      </c>
      <c r="D4" s="104">
        <f>'Pt 1 Summary of Data'!$K$56+'Pt 1 Summary of Data'!$M$56-'Pt 1 Summary of Data'!$N$56</f>
        <v>32765</v>
      </c>
      <c r="E4" s="104">
        <f>'Pt 1 Summary of Data'!$Q$56+'Pt 1 Summary of Data'!$S$56-'Pt 1 Summary of Data'!$T$56</f>
        <v>32061</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858981.16</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54721.55</v>
      </c>
      <c r="F22" s="127"/>
      <c r="G22" s="127"/>
      <c r="H22" s="127"/>
      <c r="I22" s="181"/>
      <c r="J22" s="181"/>
      <c r="K22" s="200"/>
    </row>
    <row r="23" spans="2:12" s="5" customFormat="1" ht="100.15" customHeight="1" x14ac:dyDescent="0.2">
      <c r="B23" s="91" t="s">
        <v>212</v>
      </c>
      <c r="C23" s="483" t="s">
        <v>511</v>
      </c>
      <c r="D23" s="484"/>
      <c r="E23" s="484"/>
      <c r="F23" s="484"/>
      <c r="G23" s="484"/>
      <c r="H23" s="484"/>
      <c r="I23" s="484"/>
      <c r="J23" s="484"/>
      <c r="K23" s="485"/>
    </row>
    <row r="24" spans="2:12" s="5" customFormat="1" ht="100.15" customHeight="1" x14ac:dyDescent="0.2">
      <c r="B24" s="90" t="s">
        <v>213</v>
      </c>
      <c r="C24" s="486" t="s">
        <v>512</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