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X39" i="10" s="1"/>
  <c r="U46" i="10"/>
  <c r="T46" i="10"/>
  <c r="S46" i="10"/>
  <c r="R46" i="10"/>
  <c r="Q46" i="10"/>
  <c r="O45" i="10"/>
  <c r="N45" i="10"/>
  <c r="M45" i="10"/>
  <c r="AB42" i="10"/>
  <c r="X42" i="10"/>
  <c r="T42" i="10"/>
  <c r="AB41" i="10"/>
  <c r="X41" i="10"/>
  <c r="T41" i="10"/>
  <c r="P41" i="10"/>
  <c r="K41" i="10"/>
  <c r="F41" i="10"/>
  <c r="AB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P45" i="10" s="1"/>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W13" i="10"/>
  <c r="S13" i="10"/>
  <c r="R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O55" i="18"/>
  <c r="N55" i="18"/>
  <c r="M55" i="18"/>
  <c r="L55" i="18"/>
  <c r="K55" i="18"/>
  <c r="J55" i="18"/>
  <c r="J22" i="4" s="1"/>
  <c r="I55" i="18"/>
  <c r="H55" i="18"/>
  <c r="G55" i="18"/>
  <c r="F55" i="18"/>
  <c r="E55" i="18"/>
  <c r="D55" i="18"/>
  <c r="AU54" i="18"/>
  <c r="AT54" i="18"/>
  <c r="AS54" i="18"/>
  <c r="AC54" i="18"/>
  <c r="AB54" i="18"/>
  <c r="AB12" i="4" s="1"/>
  <c r="AA54" i="18"/>
  <c r="AA12" i="4" s="1"/>
  <c r="Z54" i="18"/>
  <c r="Z12" i="4" s="1"/>
  <c r="Y54" i="18"/>
  <c r="Y12" i="4" s="1"/>
  <c r="X54" i="18"/>
  <c r="X12" i="4" s="1"/>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P22" i="4"/>
  <c r="O22" i="4"/>
  <c r="N22" i="4"/>
  <c r="M22" i="4"/>
  <c r="L22" i="4"/>
  <c r="K22" i="4"/>
  <c r="I22" i="4"/>
  <c r="H22" i="4"/>
  <c r="G22" i="4"/>
  <c r="F22" i="4"/>
  <c r="E22" i="4"/>
  <c r="D22" i="4"/>
  <c r="AU12" i="4"/>
  <c r="AT12" i="4"/>
  <c r="AS12" i="4"/>
  <c r="AC12" i="4"/>
  <c r="U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7" i="10" l="1"/>
  <c r="E15" i="10"/>
  <c r="J15" i="10"/>
  <c r="K7" i="10"/>
  <c r="J38" i="10" s="1"/>
  <c r="F15" i="10"/>
  <c r="K15" i="10"/>
  <c r="K17" i="10" s="1"/>
  <c r="G15" i="10"/>
  <c r="G32" i="10" s="1"/>
  <c r="L30" i="10"/>
  <c r="L31" i="10" s="1"/>
  <c r="L29" i="10" s="1"/>
  <c r="L33" i="10" s="1"/>
  <c r="L34" i="10" s="1"/>
  <c r="T39" i="10"/>
  <c r="P42" i="10"/>
  <c r="P47" i="10" s="1"/>
  <c r="P48" i="10" s="1"/>
  <c r="P51" i="10" s="1"/>
  <c r="P53" i="10" s="1"/>
  <c r="E11" i="16" s="1"/>
  <c r="L21" i="10"/>
  <c r="L26" i="10" s="1"/>
  <c r="L25" i="10" s="1"/>
  <c r="L28" i="10" s="1"/>
  <c r="AB13" i="10"/>
  <c r="X13" i="10"/>
  <c r="T13" i="10"/>
  <c r="V13" i="10"/>
  <c r="U13" i="10"/>
  <c r="E7" i="10"/>
  <c r="I12" i="10" l="1"/>
  <c r="J17" i="10"/>
  <c r="H17" i="10"/>
  <c r="H45" i="10" s="1"/>
  <c r="I17" i="10"/>
  <c r="I45" i="10" s="1"/>
  <c r="G20" i="10"/>
  <c r="J45" i="10"/>
  <c r="K38" i="10"/>
  <c r="F7" i="10"/>
  <c r="F17" i="10" s="1"/>
  <c r="E38" i="10"/>
  <c r="J12" i="10"/>
  <c r="G27" i="10"/>
  <c r="G23" i="10"/>
  <c r="G24" i="10"/>
  <c r="G19" i="10"/>
  <c r="H12" i="10"/>
  <c r="E12" i="10" l="1"/>
  <c r="C12" i="10"/>
  <c r="K12" i="10"/>
  <c r="E17" i="10"/>
  <c r="E45" i="10" s="1"/>
  <c r="D12" i="10"/>
  <c r="D17" i="10"/>
  <c r="D45" i="10" s="1"/>
  <c r="C17" i="10"/>
  <c r="K53" i="10"/>
  <c r="D11" i="16" s="1"/>
  <c r="K45" i="10"/>
  <c r="K39" i="10"/>
  <c r="K52" i="10"/>
  <c r="K42" i="10"/>
  <c r="F38" i="10"/>
  <c r="G22" i="10"/>
  <c r="F45" i="10" l="1"/>
  <c r="F42" i="10"/>
  <c r="F53" i="10"/>
  <c r="C11" i="16" s="1"/>
  <c r="F52" i="10"/>
  <c r="K48" i="10"/>
  <c r="K51" i="10" s="1"/>
  <c r="K47" i="10"/>
  <c r="G30" i="10"/>
  <c r="G31" i="10" s="1"/>
  <c r="G29" i="10" s="1"/>
  <c r="G33" i="10" s="1"/>
  <c r="G34" i="10" s="1"/>
  <c r="G21" i="10"/>
  <c r="G26" i="10" s="1"/>
  <c r="G25" i="10" s="1"/>
  <c r="G28" i="10" s="1"/>
  <c r="C45" i="10"/>
  <c r="F39" i="10" s="1"/>
  <c r="F12" i="10"/>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<sst xmlns="http://schemas.openxmlformats.org/spreadsheetml/2006/main" count="570" uniqueCount="509">
  <si>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</si>
  <si>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</si>
  <si>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</si>
  <si>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</si>
  <si>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</si>
  <si>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</si>
  <si>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</si>
  <si>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</si>
  <si>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</si>
  <si>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</si>
  <si>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</si>
  <si>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</si>
  <si>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</si>
  <si>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</si>
  <si>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</si>
  <si>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</si>
  <si>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</si>
  <si>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</si>
  <si>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</si>
  <si>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</si>
  <si>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</si>
  <si>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</si>
  <si>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</si>
  <si>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</si>
  <si>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</si>
  <si>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</si>
  <si>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</si>
  <si>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</si>
  <si>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</si>
  <si>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</si>
  <si>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</si>
  <si>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</si>
  <si>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</si>
  <si>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</si>
  <si>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</si>
  <si>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</si>
  <si>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</si>
  <si>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</si>
  <si>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</si>
  <si>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</si>
  <si>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</si>
  <si>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</si>
  <si>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</si>
  <si>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</si>
  <si>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</si>
  <si>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</si>
  <si>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</si>
  <si>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</si>
  <si>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</si>
  <si>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</si>
  <si>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</si>
  <si>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</si>
  <si>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</si>
  <si>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</si>
  <si>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</si>
  <si>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</si>
  <si>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</si>
  <si>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</si>
  <si>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</si>
  <si>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</si>
  <si>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</si>
  <si>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</si>
  <si>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</si>
  <si>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</si>
  <si>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</si>
  <si>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</si>
  <si>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</si>
  <si>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</si>
  <si>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</si>
  <si>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</si>
  <si>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</si>
  <si>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</si>
  <si>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</si>
  <si>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</si>
  <si>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</si>
  <si>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</si>
  <si>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</si>
  <si>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</si>
  <si>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</si>
  <si>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</si>
  <si>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</si>
  <si>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</si>
  <si>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</si>
  <si>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</si>
  <si>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</si>
  <si>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</si>
  <si>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</si>
  <si>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</si>
  <si>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</si>
  <si>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</si>
  <si>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</si>
  <si>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</si>
  <si>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</si>
  <si>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</si>
  <si>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</si>
  <si>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</si>
  <si>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</si>
  <si>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</si>
  <si>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</si>
  <si>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</si>
  <si>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</si>
  <si>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</si>
  <si>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</si>
  <si>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</si>
  <si>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</si>
  <si>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</si>
  <si>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</si>
  <si>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</si>
  <si>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</si>
  <si>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</si>
  <si>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</si>
  <si>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</si>
  <si>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</si>
  <si>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</si>
  <si>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</si>
  <si>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</si>
  <si>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</si>
  <si>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</si>
  <si>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</si>
  <si>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</si>
  <si>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</si>
  <si>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</si>
  <si>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</si>
  <si>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</si>
  <si>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</si>
  <si>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</si>
  <si>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</si>
  <si>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</si>
  <si>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</si>
  <si>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</si>
  <si>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</si>
  <si>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</si>
  <si>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</si>
  <si>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</si>
  <si>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</si>
  <si>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</si>
  <si>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</si>
  <si>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</si>
  <si>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</si>
  <si>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</si>
  <si>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</si>
  <si>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</si>
  <si>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</si>
  <si>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</si>
  <si>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</si>
  <si>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</si>
  <si>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</si>
  <si>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</si>
  <si>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</si>
  <si>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</si>
  <si>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</si>
  <si>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</si>
  <si>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</si>
  <si>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</si>
  <si>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</si>
  <si>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</si>
  <si>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</si>
  <si>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</si>
  <si>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</si>
  <si>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</si>
  <si>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</si>
  <si>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</si>
  <si>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</si>
  <si>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</si>
  <si>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</si>
  <si>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</si>
  <si>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</si>
  <si>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</si>
  <si>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</si>
  <si>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</si>
  <si>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</si>
  <si>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</si>
  <si>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</si>
  <si>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</si>
  <si>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</si>
  <si>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</si>
  <si>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</si>
  <si>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</si>
  <si>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</si>
  <si>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</si>
  <si>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</si>
  <si>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</si>
  <si>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</si>
  <si>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</si>
  <si>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</si>
  <si>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</si>
  <si>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</si>
  <si>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</si>
  <si>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</si>
  <si>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</si>
  <si>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</si>
  <si>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</si>
  <si>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</si>
  <si>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</si>
  <si>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</si>
  <si>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</si>
  <si>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</si>
  <si>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</si>
  <si>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</si>
  <si>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</si>
  <si>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</si>
  <si>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</si>
  <si>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</si>
  <si>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</si>
  <si>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</si>
  <si>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</si>
  <si>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</si>
  <si>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</si>
  <si>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</si>
  <si>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</si>
  <si>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</si>
  <si>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</si>
  <si>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</si>
  <si>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</si>
  <si>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</si>
  <si>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</si>
  <si>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</si>
  <si>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</si>
  <si>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</si>
  <si>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</si>
  <si>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</si>
  <si>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</si>
  <si>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</si>
  <si>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</si>
  <si>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</si>
  <si>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</si>
  <si>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</si>
  <si>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</si>
  <si>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</si>
  <si>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</si>
  <si>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</si>
  <si>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</si>
  <si>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</si>
  <si>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</si>
  <si>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</si>
  <si>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</si>
  <si>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</si>
  <si>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</si>
  <si>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</si>
  <si>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</si>
  <si>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</si>
  <si>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</si>
  <si>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</si>
  <si>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</si>
  <si>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</si>
  <si>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</si>
  <si>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</si>
  <si>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</si>
  <si>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</si>
  <si>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</si>
  <si>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</si>
  <si>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</si>
  <si>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</si>
  <si>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</si>
  <si>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</si>
  <si>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</si>
  <si>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</si>
  <si>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</si>
  <si>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</si>
  <si>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</si>
  <si>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</si>
  <si>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</si>
  <si>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</si>
  <si>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</si>
  <si>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</si>
  <si>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</si>
  <si>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</si>
  <si>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</si>
  <si>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</si>
  <si>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</si>
  <si>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</si>
  <si>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</si>
  <si>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</si>
  <si>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</si>
  <si>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</si>
  <si>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</si>
  <si>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</si>
  <si>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</si>
  <si>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</si>
  <si>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</si>
  <si>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</si>
  <si>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</si>
  <si>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</si>
  <si>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</si>
  <si>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</si>
  <si>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</si>
  <si>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</si>
  <si>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</si>
  <si>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</si>
  <si>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</si>
  <si>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</si>
  <si>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</si>
  <si>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</si>
  <si>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</si>
  <si>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</si>
  <si>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</si>
  <si>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</si>
  <si>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</si>
  <si>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</si>
  <si>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</si>
  <si>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</si>
  <si>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</si>
  <si>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</si>
  <si>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</si>
  <si>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</si>
  <si>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</si>
  <si>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</si>
  <si>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</si>
  <si>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</si>
  <si>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</si>
  <si>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</si>
  <si>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</si>
  <si>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</si>
  <si>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</si>
  <si>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</si>
  <si>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</si>
  <si>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</si>
  <si>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</si>
  <si>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</si>
  <si>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</si>
  <si>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</si>
  <si>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</si>
  <si>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</si>
  <si>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</si>
  <si>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</si>
  <si>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</si>
  <si>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</si>
  <si>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</si>
  <si>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</si>
  <si>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</si>
  <si>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</si>
  <si>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</si>
  <si>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</si>
  <si>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</si>
  <si>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</si>
  <si>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</si>
  <si>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</si>
  <si>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</si>
  <si>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</si>
  <si>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</si>
  <si>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</si>
  <si>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</si>
  <si>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</si>
  <si>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</si>
  <si>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</si>
  <si>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</si>
  <si>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</si>
  <si>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</si>
  <si>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</si>
  <si>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</si>
  <si>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</si>
  <si>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</si>
  <si>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</si>
  <si>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</si>
  <si>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</si>
  <si>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</si>
  <si>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</si>
  <si>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</si>
  <si>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</si>
  <si>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</si>
  <si>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</si>
  <si>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</si>
  <si>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</si>
  <si>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</si>
  <si>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</si>
  <si>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</si>
  <si>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</si>
  <si>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</si>
  <si>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</si>
  <si>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</si>
  <si>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</si>
  <si>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</si>
  <si>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</si>
  <si>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</si>
  <si>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</si>
  <si>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</si>
  <si>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</si>
  <si>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</si>
  <si>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</si>
  <si>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</si>
  <si>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</si>
  <si>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</si>
  <si>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</si>
  <si>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</si>
  <si>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</si>
  <si>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</si>
  <si>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</si>
  <si>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</si>
  <si>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</si>
  <si>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</si>
  <si>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</si>
  <si>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</si>
  <si>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</si>
  <si>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</si>
  <si>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</si>
  <si>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</si>
  <si>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</si>
  <si>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</si>
  <si>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</si>
  <si>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</si>
  <si>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</si>
  <si>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</si>
  <si>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</si>
  <si>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</si>
  <si>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</si>
  <si>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</si>
  <si>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</si>
  <si>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</si>
  <si>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</si>
  <si>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</si>
  <si>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</si>
  <si>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</si>
  <si>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</si>
  <si>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</si>
  <si>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</si>
  <si>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</si>
  <si>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</si>
  <si>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</si>
  <si>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</si>
  <si>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</si>
  <si>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</si>
  <si>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</si>
  <si>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</si>
  <si>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</si>
  <si>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</si>
  <si>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</si>
  <si>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</si>
  <si>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</si>
  <si>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</si>
  <si>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</si>
  <si>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</si>
  <si>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</si>
  <si>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</si>
  <si>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</si>
  <si>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</si>
  <si>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</si>
  <si>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</si>
  <si>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</si>
  <si>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</si>
  <si>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</si>
  <si>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</si>
  <si>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</si>
  <si>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</si>
  <si>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</si>
  <si>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</si>
  <si>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</si>
  <si>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</si>
  <si>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</si>
  <si>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</si>
  <si>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</si>
  <si>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</si>
  <si>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</si>
  <si>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</si>
  <si>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</si>
  <si>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</si>
  <si>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</si>
  <si>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</si>
  <si>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</si>
  <si>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</si>
  <si>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</si>
  <si>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</si>
  <si>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</si>
  <si>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</si>
  <si>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</si>
  <si>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</si>
  <si>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</si>
  <si>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</si>
  <si>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</si>
  <si>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</si>
  <si>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</si>
  <si>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</si>
  <si>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</si>
  <si>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</si>
  <si>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</si>
  <si>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</si>
  <si>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</si>
  <si>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</si>
  <si>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</si>
  <si>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</si>
  <si>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</si>
  <si>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</si>
  <si>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</si>
  <si>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</si>
  <si>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</si>
  <si>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</si>
  <si>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</si>
  <si>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</si>
  <si>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</si>
  <si>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</si>
  <si>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</si>
  <si>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</si>
  <si>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</si>
  <si>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</si>
  <si>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</si>
  <si>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</si>
  <si>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</si>
  <si>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</si>
  <si>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</si>
  <si>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</si>
  <si>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</si>
  <si>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</si>
  <si>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</si>
  <si>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</si>
  <si>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</si>
  <si>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</si>
  <si>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73889</t>
  </si>
  <si>
    <t>215</t>
  </si>
  <si>
    <t>Humana Medical Plan, Inc.</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</si>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</sst>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164</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98622</v>
      </c>
      <c r="K5" s="213">
        <f>SUM('Pt 2 Premium and Claims'!K$5,'Pt 2 Premium and Claims'!K$6,-'Pt 2 Premium and Claims'!K$7,-'Pt 2 Premium and Claims'!K$13,'Pt 2 Premium and Claims'!K$14,'Pt 2 Premium and Claims'!K$16:'Pt 2 Premium and Claims'!K$17)</f>
        <v>96545.79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2140644</v>
      </c>
      <c r="Q5" s="213">
        <f>SUM('Pt 2 Premium and Claims'!Q$5,'Pt 2 Premium and Claims'!Q$6,-'Pt 2 Premium and Claims'!Q$7,-'Pt 2 Premium and Claims'!Q$13,'Pt 2 Premium and Claims'!Q$14)</f>
        <v>2155173.79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-31</v>
      </c>
      <c r="K8" s="268"/>
      <c r="L8" s="269"/>
      <c r="M8" s="269"/>
      <c r="N8" s="269"/>
      <c r="O8" s="272"/>
      <c r="P8" s="216">
        <v>-2598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99316</v>
      </c>
      <c r="K12" s="213">
        <f>'Pt 2 Premium and Claims'!K$54</f>
        <v>71167.508400000006</v>
      </c>
      <c r="L12" s="213">
        <f>'Pt 2 Premium and Claims'!L$54</f>
        <v>0</v>
      </c>
      <c r="M12" s="213">
        <f>'Pt 2 Premium and Claims'!M$54</f>
        <v>0</v>
      </c>
      <c r="N12" s="213">
        <f>'Pt 2 Premium and Claims'!N$54</f>
        <v>0</v>
      </c>
      <c r="O12" s="212">
        <f>'Pt 2 Premium and Claims'!O$54</f>
        <v>0</v>
      </c>
      <c r="P12" s="212">
        <f>'Pt 2 Premium and Claims'!P$54</f>
        <v>1793492</v>
      </c>
      <c r="Q12" s="213">
        <f>'Pt 2 Premium and Claims'!Q$54</f>
        <v>1431822.0141182693</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11393</v>
      </c>
      <c r="K13" s="217">
        <v>11399.88</v>
      </c>
      <c r="L13" s="217"/>
      <c r="M13" s="268"/>
      <c r="N13" s="269"/>
      <c r="O13" s="216"/>
      <c r="P13" s="216">
        <v>244503</v>
      </c>
      <c r="Q13" s="217">
        <v>244390.08000000002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2713</v>
      </c>
      <c r="K14" s="217">
        <v>2707.34</v>
      </c>
      <c r="L14" s="217"/>
      <c r="M14" s="267"/>
      <c r="N14" s="270"/>
      <c r="O14" s="216"/>
      <c r="P14" s="216">
        <v>19714</v>
      </c>
      <c r="Q14" s="217">
        <v>19207.170000000002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v>0.14000000000000001</v>
      </c>
      <c r="L15" s="217"/>
      <c r="M15" s="267"/>
      <c r="N15" s="273"/>
      <c r="O15" s="216"/>
      <c r="P15" s="216">
        <v>5</v>
      </c>
      <c r="Q15" s="217">
        <v>4.72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-57747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2806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2969.21</v>
      </c>
      <c r="Q22" s="222">
        <f>'Pt 2 Premium and Claims'!Q$55</f>
        <v>2969.21</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-2807.08</v>
      </c>
      <c r="K25" s="217">
        <v>-2806.8573951971784</v>
      </c>
      <c r="L25" s="217"/>
      <c r="M25" s="217"/>
      <c r="N25" s="217"/>
      <c r="O25" s="216"/>
      <c r="P25" s="216">
        <v>7092.39</v>
      </c>
      <c r="Q25" s="217">
        <v>7091.7660319920915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26.54</v>
      </c>
      <c r="K26" s="217">
        <v>26.54</v>
      </c>
      <c r="L26" s="217"/>
      <c r="M26" s="217"/>
      <c r="N26" s="217"/>
      <c r="O26" s="216"/>
      <c r="P26" s="216">
        <v>890.79</v>
      </c>
      <c r="Q26" s="217">
        <v>890.79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1081.9000000000001</v>
      </c>
      <c r="K27" s="217">
        <v>1081.9000000000001</v>
      </c>
      <c r="L27" s="217"/>
      <c r="M27" s="217"/>
      <c r="N27" s="217"/>
      <c r="O27" s="216"/>
      <c r="P27" s="216">
        <v>36333.65</v>
      </c>
      <c r="Q27" s="217">
        <v>36333.65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157.16</v>
      </c>
      <c r="K28" s="217">
        <v>157.16</v>
      </c>
      <c r="L28" s="217"/>
      <c r="M28" s="217"/>
      <c r="N28" s="217"/>
      <c r="O28" s="216"/>
      <c r="P28" s="216">
        <v>5264.16</v>
      </c>
      <c r="Q28" s="217">
        <v>5264.16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-210.46</v>
      </c>
      <c r="K30" s="217">
        <v>-210.44024992063643</v>
      </c>
      <c r="L30" s="217"/>
      <c r="M30" s="217"/>
      <c r="N30" s="217"/>
      <c r="O30" s="216"/>
      <c r="P30" s="216">
        <v>2031.25</v>
      </c>
      <c r="Q30" s="217">
        <v>2031.1946399290566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505.58</v>
      </c>
      <c r="K34" s="217">
        <v>505.58</v>
      </c>
      <c r="L34" s="217"/>
      <c r="M34" s="217"/>
      <c r="N34" s="217"/>
      <c r="O34" s="216"/>
      <c r="P34" s="216">
        <v>16982.22</v>
      </c>
      <c r="Q34" s="217">
        <v>16982.22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47.62</v>
      </c>
      <c r="K35" s="217">
        <v>47.62</v>
      </c>
      <c r="L35" s="217"/>
      <c r="M35" s="217"/>
      <c r="N35" s="217"/>
      <c r="O35" s="216"/>
      <c r="P35" s="216">
        <v>1599.13</v>
      </c>
      <c r="Q35" s="217">
        <v>1599.13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12</v>
      </c>
      <c r="K37" s="225">
        <v>11.85</v>
      </c>
      <c r="L37" s="225"/>
      <c r="M37" s="225"/>
      <c r="N37" s="225"/>
      <c r="O37" s="224"/>
      <c r="P37" s="224">
        <v>30425</v>
      </c>
      <c r="Q37" s="225">
        <v>30424.67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-15</v>
      </c>
      <c r="K38" s="217">
        <v>-15.01</v>
      </c>
      <c r="L38" s="217"/>
      <c r="M38" s="217"/>
      <c r="N38" s="217"/>
      <c r="O38" s="216"/>
      <c r="P38" s="216">
        <v>14899</v>
      </c>
      <c r="Q38" s="217">
        <v>14898.7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28</v>
      </c>
      <c r="K39" s="217">
        <v>27.61</v>
      </c>
      <c r="L39" s="217"/>
      <c r="M39" s="217"/>
      <c r="N39" s="217"/>
      <c r="O39" s="216"/>
      <c r="P39" s="216">
        <v>4793</v>
      </c>
      <c r="Q39" s="217">
        <v>4792.8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c r="F40" s="217"/>
      <c r="G40" s="217"/>
      <c r="H40" s="217"/>
      <c r="I40" s="216"/>
      <c r="J40" s="216">
        <v>590</v>
      </c>
      <c r="K40" s="217">
        <v>590.29</v>
      </c>
      <c r="L40" s="217"/>
      <c r="M40" s="217"/>
      <c r="N40" s="217"/>
      <c r="O40" s="216"/>
      <c r="P40" s="216">
        <v>24743</v>
      </c>
      <c r="Q40" s="217">
        <v>24743.4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c r="F41" s="217"/>
      <c r="G41" s="217"/>
      <c r="H41" s="217"/>
      <c r="I41" s="216"/>
      <c r="J41" s="216">
        <v>72</v>
      </c>
      <c r="K41" s="217">
        <v>72.459999999999994</v>
      </c>
      <c r="L41" s="217"/>
      <c r="M41" s="217"/>
      <c r="N41" s="217"/>
      <c r="O41" s="216"/>
      <c r="P41" s="216">
        <v>2517</v>
      </c>
      <c r="Q41" s="217">
        <v>2516.6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474</v>
      </c>
      <c r="K44" s="225">
        <v>473.74</v>
      </c>
      <c r="L44" s="225"/>
      <c r="M44" s="225"/>
      <c r="N44" s="225"/>
      <c r="O44" s="224"/>
      <c r="P44" s="224">
        <v>18303</v>
      </c>
      <c r="Q44" s="225">
        <v>18303.11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c r="F45" s="217"/>
      <c r="G45" s="217"/>
      <c r="H45" s="217"/>
      <c r="I45" s="216"/>
      <c r="J45" s="216">
        <v>384</v>
      </c>
      <c r="K45" s="217">
        <v>383.64</v>
      </c>
      <c r="L45" s="217"/>
      <c r="M45" s="217"/>
      <c r="N45" s="217"/>
      <c r="O45" s="216"/>
      <c r="P45" s="216">
        <v>12925</v>
      </c>
      <c r="Q45" s="217">
        <v>12924.87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c r="F46" s="217"/>
      <c r="G46" s="217"/>
      <c r="H46" s="217"/>
      <c r="I46" s="216"/>
      <c r="J46" s="216">
        <v>651</v>
      </c>
      <c r="K46" s="217">
        <v>650.6</v>
      </c>
      <c r="L46" s="217"/>
      <c r="M46" s="217"/>
      <c r="N46" s="217"/>
      <c r="O46" s="216"/>
      <c r="P46" s="216">
        <v>21854</v>
      </c>
      <c r="Q46" s="217">
        <v>21854.29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c r="F47" s="217"/>
      <c r="G47" s="217"/>
      <c r="H47" s="217"/>
      <c r="I47" s="216"/>
      <c r="J47" s="216">
        <v>172</v>
      </c>
      <c r="K47" s="217">
        <v>172.49</v>
      </c>
      <c r="L47" s="217"/>
      <c r="M47" s="217"/>
      <c r="N47" s="217"/>
      <c r="O47" s="216"/>
      <c r="P47" s="216">
        <v>5789</v>
      </c>
      <c r="Q47" s="217">
        <v>5789.31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-1800.71</v>
      </c>
      <c r="K49" s="217">
        <v>-1800.71</v>
      </c>
      <c r="L49" s="217"/>
      <c r="M49" s="217"/>
      <c r="N49" s="217"/>
      <c r="O49" s="216"/>
      <c r="P49" s="216">
        <v>3943.84</v>
      </c>
      <c r="Q49" s="217">
        <v>3943.84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4794</v>
      </c>
      <c r="K51" s="217">
        <v>4794.47</v>
      </c>
      <c r="L51" s="217"/>
      <c r="M51" s="217"/>
      <c r="N51" s="217"/>
      <c r="O51" s="216"/>
      <c r="P51" s="216">
        <v>150883</v>
      </c>
      <c r="Q51" s="217">
        <v>150882.82999999999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5</v>
      </c>
      <c r="K56" s="229">
        <v>5</v>
      </c>
      <c r="L56" s="229"/>
      <c r="M56" s="229"/>
      <c r="N56" s="229"/>
      <c r="O56" s="228"/>
      <c r="P56" s="228">
        <v>172</v>
      </c>
      <c r="Q56" s="229">
        <v>172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c r="F57" s="232"/>
      <c r="G57" s="232"/>
      <c r="H57" s="232"/>
      <c r="I57" s="231"/>
      <c r="J57" s="231">
        <v>12</v>
      </c>
      <c r="K57" s="232">
        <v>12</v>
      </c>
      <c r="L57" s="232"/>
      <c r="M57" s="232"/>
      <c r="N57" s="232"/>
      <c r="O57" s="231"/>
      <c r="P57" s="231">
        <v>382</v>
      </c>
      <c r="Q57" s="232">
        <v>382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137</v>
      </c>
      <c r="K59" s="232">
        <v>137</v>
      </c>
      <c r="L59" s="232"/>
      <c r="M59" s="232"/>
      <c r="N59" s="232"/>
      <c r="O59" s="231"/>
      <c r="P59" s="231">
        <v>4602</v>
      </c>
      <c r="Q59" s="232">
        <v>4675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11.416666666666666</v>
      </c>
      <c r="K60" s="235">
        <f t="shared" si="0"/>
        <v>11.416666666666666</v>
      </c>
      <c r="L60" s="235">
        <f t="shared" si="0"/>
        <v>0</v>
      </c>
      <c r="M60" s="235">
        <f t="shared" si="0"/>
        <v>0</v>
      </c>
      <c r="N60" s="235">
        <f t="shared" si="0"/>
        <v>0</v>
      </c>
      <c r="O60" s="234">
        <f t="shared" si="0"/>
        <v>0</v>
      </c>
      <c r="P60" s="234">
        <f t="shared" si="0"/>
        <v>383.5</v>
      </c>
      <c r="Q60" s="235">
        <f t="shared" si="0"/>
        <v>389.58333333333331</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98622</v>
      </c>
      <c r="K5" s="326">
        <v>96545.79</v>
      </c>
      <c r="L5" s="326"/>
      <c r="M5" s="326"/>
      <c r="N5" s="326"/>
      <c r="O5" s="325"/>
      <c r="P5" s="325">
        <v>2140644</v>
      </c>
      <c r="Q5" s="326">
        <v>2155173.79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2806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97658</v>
      </c>
      <c r="K23" s="362"/>
      <c r="L23" s="362"/>
      <c r="M23" s="362"/>
      <c r="N23" s="362"/>
      <c r="O23" s="364"/>
      <c r="P23" s="318">
        <v>1851568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20110</v>
      </c>
      <c r="AU23" s="321">
        <v>0</v>
      </c>
      <c r="AV23" s="368"/>
      <c r="AW23" s="374"/>
    </row>
    <row r="24" spans="2:49" ht="28.5" customHeight="1" x14ac:dyDescent="0.2">
      <c r="B24" s="345" t="s">
        <v>114</v>
      </c>
      <c r="C24" s="331"/>
      <c r="D24" s="365"/>
      <c r="E24" s="319">
        <v>0</v>
      </c>
      <c r="F24" s="319"/>
      <c r="G24" s="319"/>
      <c r="H24" s="319"/>
      <c r="I24" s="318"/>
      <c r="J24" s="365"/>
      <c r="K24" s="319">
        <v>70458.850000000006</v>
      </c>
      <c r="L24" s="319"/>
      <c r="M24" s="319"/>
      <c r="N24" s="319"/>
      <c r="O24" s="318"/>
      <c r="P24" s="365"/>
      <c r="Q24" s="319">
        <v>1431113.51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14538</v>
      </c>
      <c r="K26" s="362"/>
      <c r="L26" s="362"/>
      <c r="M26" s="362"/>
      <c r="N26" s="362"/>
      <c r="O26" s="364"/>
      <c r="P26" s="318">
        <v>216017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v>3451.5183999999999</v>
      </c>
      <c r="L27" s="319"/>
      <c r="M27" s="319"/>
      <c r="N27" s="319"/>
      <c r="O27" s="318"/>
      <c r="P27" s="365"/>
      <c r="Q27" s="319">
        <v>43263.540100000013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9992</v>
      </c>
      <c r="K28" s="363"/>
      <c r="L28" s="363"/>
      <c r="M28" s="363"/>
      <c r="N28" s="363"/>
      <c r="O28" s="365"/>
      <c r="P28" s="318">
        <v>281437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20110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-35.520000000000003</v>
      </c>
      <c r="L31" s="319"/>
      <c r="M31" s="319"/>
      <c r="N31" s="319"/>
      <c r="O31" s="318"/>
      <c r="P31" s="365"/>
      <c r="Q31" s="319">
        <v>-1317.02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36</v>
      </c>
      <c r="K32" s="363"/>
      <c r="L32" s="363"/>
      <c r="M32" s="363"/>
      <c r="N32" s="363"/>
      <c r="O32" s="365"/>
      <c r="P32" s="318">
        <v>1317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2806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2852</v>
      </c>
      <c r="K49" s="319">
        <v>2707.34</v>
      </c>
      <c r="L49" s="319"/>
      <c r="M49" s="319"/>
      <c r="N49" s="319"/>
      <c r="O49" s="318"/>
      <c r="P49" s="318">
        <v>-8117</v>
      </c>
      <c r="Q49" s="319">
        <v>19207.170000000002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-2262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0</v>
      </c>
      <c r="L53" s="319"/>
      <c r="M53" s="319"/>
      <c r="N53" s="319"/>
      <c r="O53" s="318"/>
      <c r="P53" s="318">
        <v>0</v>
      </c>
      <c r="Q53" s="319">
        <v>-22030.845981730763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99316</v>
      </c>
      <c r="K54" s="323">
        <f>K24+K27+K31+K35-K36+K39+K42+K45+K46-K49+K51+K52+K53</f>
        <v>71167.508400000006</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1793492</v>
      </c>
      <c r="Q54" s="323">
        <f>Q24+Q27+Q31+Q35-Q36+Q39+Q42+Q45+Q46-Q49+Q51+Q52+Q53</f>
        <v>1431822.0141182693</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2969.21</v>
      </c>
      <c r="Q55" s="323">
        <f t="shared" si="0"/>
        <v>2969.21</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88.25</v>
      </c>
      <c r="K56" s="319">
        <v>88.25</v>
      </c>
      <c r="L56" s="319"/>
      <c r="M56" s="319"/>
      <c r="N56" s="319"/>
      <c r="O56" s="318"/>
      <c r="P56" s="318">
        <v>2969.21</v>
      </c>
      <c r="Q56" s="319">
        <v>2969.21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7159</v>
      </c>
      <c r="Q57" s="319">
        <v>7158.88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161780.72</v>
      </c>
      <c r="I5" s="403">
        <v>96677.18</v>
      </c>
      <c r="J5" s="454"/>
      <c r="K5" s="454"/>
      <c r="L5" s="448"/>
      <c r="M5" s="402">
        <v>1991398.26</v>
      </c>
      <c r="N5" s="403">
        <v>2679685.1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161595.35279049099</v>
      </c>
      <c r="I6" s="398">
        <v>102004.13218915861</v>
      </c>
      <c r="J6" s="400">
        <f>SUM('Pt 1 Summary of Data'!K$12,'Pt 1 Summary of Data'!K$22)+SUM('Pt 1 Summary of Data'!M$12,'Pt 1 Summary of Data'!M$22)-SUM('Pt 1 Summary of Data'!N$12,'Pt 1 Summary of Data'!N$22)</f>
        <v>71167.508400000006</v>
      </c>
      <c r="K6" s="400">
        <f>SUM(H6:J6)</f>
        <v>334766.99337964959</v>
      </c>
      <c r="L6" s="401">
        <f>SUM('Pt 1 Summary of Data'!O$12,'Pt 1 Summary of Data'!O$22)</f>
        <v>0</v>
      </c>
      <c r="M6" s="397">
        <v>1989085.173184956</v>
      </c>
      <c r="N6" s="398">
        <v>2655860.4349159375</v>
      </c>
      <c r="O6" s="400">
        <f>SUM('Pt 1 Summary of Data'!Q$12,'Pt 1 Summary of Data'!Q$22)+SUM('Pt 1 Summary of Data'!S$12,'Pt 1 Summary of Data'!S$22)-SUM('Pt 1 Summary of Data'!T$12,'Pt 1 Summary of Data'!T$22)</f>
        <v>1434791.2241182693</v>
      </c>
      <c r="P6" s="400">
        <f>SUM(M6:O6)</f>
        <v>6079736.832219162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11434.79</v>
      </c>
      <c r="I7" s="398">
        <v>1776.97</v>
      </c>
      <c r="J7" s="400">
        <f>SUM('Pt 1 Summary of Data'!K$37:K$41)+SUM('Pt 1 Summary of Data'!M$37:M$41)-SUM('Pt 1 Summary of Data'!N$37:N$41)+MAX(0,MIN('Pt 1 Summary of Data'!K$42+'Pt 1 Summary of Data'!M$42-'Pt 1 Summary of Data'!N$42,0.3%*('Pt 1 Summary of Data'!K$5+'Pt 1 Summary of Data'!M$5-'Pt 1 Summary of Data'!N$5-SUM(J$10:J$11))))</f>
        <v>687.2</v>
      </c>
      <c r="K7" s="400">
        <f>SUM(H7:J7)</f>
        <v>13898.960000000001</v>
      </c>
      <c r="L7" s="401">
        <f>SUM('Pt 1 Summary of Data'!O$37:O$41)+MAX(0,MIN(VALUE('Pt 1 Summary of Data'!O$42),0.3%*('Pt 1 Summary of Data'!O$5-L$10)))</f>
        <v>0</v>
      </c>
      <c r="M7" s="397">
        <v>38577.269999999997</v>
      </c>
      <c r="N7" s="398">
        <v>44414.15</v>
      </c>
      <c r="O7" s="400">
        <f>SUM('Pt 1 Summary of Data'!Q$37:Q$41)+SUM('Pt 1 Summary of Data'!S$37:S$41)-SUM('Pt 1 Summary of Data'!T$37:T$41)+MAX(0,MIN('Pt 1 Summary of Data'!Q$42+'Pt 1 Summary of Data'!S$42-'Pt 1 Summary of Data'!T$42,0.3%*('Pt 1 Summary of Data'!Q$5+'Pt 1 Summary of Data'!S$5-'Pt 1 Summary of Data'!T$5)))</f>
        <v>77376.170000000013</v>
      </c>
      <c r="P7" s="400">
        <f>SUM(M7:O7)</f>
        <v>160367.59000000003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173030.14279049099</v>
      </c>
      <c r="I12" s="400">
        <f>SUM(I$6:I$7) - SUM(I$10:I$11)+IF(AND(OR('Company Information'!$C$12="District of Columbia",'Company Information'!$C$12="Massachusetts",'Company Information'!$C$12="Vermont"),SUM($H$6:$K$11,$H$15:$K$16,$H$38:$I$38)&lt;&gt;0),SUM(D$6:D$7) - SUM(D$8:D$11),0)</f>
        <v>103781.10218915861</v>
      </c>
      <c r="J12" s="400">
        <f>SUM(J$6:J$7)-SUM(J$10:J$11)+IF(AND(OR('Company Information'!$C$12="District of Columbia",'Company Information'!$C$12="Massachusetts",'Company Information'!$C$12="Vermont"),SUM($H$6:$K$11,$H$15:$K$16,$H$38:$I$38)&lt;&gt;0),SUM(E$6:E$7)-SUM(E$8:E$11),0)</f>
        <v>71854.708400000003</v>
      </c>
      <c r="K12" s="400">
        <f>IFERROR(SUM(H$12:J$12)+H$17*MAX(0,J$50-H$50)+I$17*MAX(0,J$50-I$50),0)</f>
        <v>348665.95337964961</v>
      </c>
      <c r="L12" s="447"/>
      <c r="M12" s="399">
        <f>SUM(M$6:M$7)</f>
        <v>2027662.443184956</v>
      </c>
      <c r="N12" s="400">
        <f>SUM(N$6:N$7)</f>
        <v>2700274.5849159374</v>
      </c>
      <c r="O12" s="400">
        <f>SUM(O$6:O$7)</f>
        <v>1512167.3941182692</v>
      </c>
      <c r="P12" s="400">
        <f>SUM(M$12:O$12)+M$17*MAX(0,O$50-M$50)+N$17*MAX(0,O$50-N$50)</f>
        <v>6240104.4222191619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301006.84999999998</v>
      </c>
      <c r="I15" s="403">
        <v>144757.23000000001</v>
      </c>
      <c r="J15" s="395">
        <f>SUM('Pt 1 Summary of Data'!K$5:K$7)+SUM('Pt 1 Summary of Data'!M$5:M$7)-SUM('Pt 1 Summary of Data'!N$5:N$7)-SUM(J$10:J$11)</f>
        <v>96545.79</v>
      </c>
      <c r="K15" s="395">
        <f>SUM(H15:J15)</f>
        <v>542309.87</v>
      </c>
      <c r="L15" s="396">
        <f>SUM('Pt 1 Summary of Data'!O$5:O$7)-L$10</f>
        <v>0</v>
      </c>
      <c r="M15" s="402">
        <v>2545668.16</v>
      </c>
      <c r="N15" s="403">
        <v>2639246.0499999998</v>
      </c>
      <c r="O15" s="395">
        <f>SUM('Pt 1 Summary of Data'!Q$5:Q$7)+SUM('Pt 1 Summary of Data'!S$5:S$7)-SUM('Pt 1 Summary of Data'!T$5:T$7)+N$56</f>
        <v>2155173.79</v>
      </c>
      <c r="P15" s="395">
        <f>SUM(M15:O15)</f>
        <v>7340088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48892.24</v>
      </c>
      <c r="I16" s="398">
        <v>2972.34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-1198.497645117815</v>
      </c>
      <c r="K16" s="400">
        <f>SUM(H16:J16)</f>
        <v>50666.082354882186</v>
      </c>
      <c r="L16" s="401">
        <f>SUM('Pt 1 Summary of Data'!O$25:O$28,'Pt 1 Summary of Data'!O$30,'Pt 1 Summary of Data'!O$34:O$35)+IF('Company Information'!$C$15="No",IF(MAX('Pt 1 Summary of Data'!O$31:O$32)=0,MIN('Pt 1 Summary of Data'!O$31:O$32),MAX('Pt 1 Summary of Data'!O$31:O$32)),SUM('Pt 1 Summary of Data'!O$31:O$32))</f>
        <v>0</v>
      </c>
      <c r="M16" s="397">
        <v>187638.16</v>
      </c>
      <c r="N16" s="398">
        <v>71166.960000000006</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70192.910671921156</v>
      </c>
      <c r="P16" s="400">
        <f>SUM(M16:O16)</f>
        <v>328998.03067192115</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252114.61</v>
      </c>
      <c r="I17" s="400">
        <f>I$15-I$16+IF(AND(OR('Company Information'!$C$12="District of Columbia",'Company Information'!$C$12="Massachusetts",'Company Information'!$C$12="Vermont"),SUM($H$6:$K$11,$H$15:$K$16,$H$38:$I$38)&lt;&gt;0),D$15-D$16,0)</f>
        <v>141784.89000000001</v>
      </c>
      <c r="J17" s="400">
        <f>J$15-J$16+IF(AND(OR('Company Information'!$C$12="District of Columbia",'Company Information'!$C$12="Massachusetts",'Company Information'!$C$12="Vermont"),SUM($H$6:$K$11,$H$15:$K$16,$H$38:$I$38)&lt;&gt;0),E$15-E$16,0)</f>
        <v>97744.287645117802</v>
      </c>
      <c r="K17" s="400">
        <f>K$15-K$16+IF(AND(OR('Company Information'!$C$12="District of Columbia",'Company Information'!$C$12="Massachusetts",'Company Information'!$C$12="Vermont"),SUM($H$6:$K$11,$H$15:$K$16,$H$38:$I$38)&lt;&gt;0),F$15-F$16,0)</f>
        <v>491643.78764511779</v>
      </c>
      <c r="L17" s="450"/>
      <c r="M17" s="399">
        <f>M$15-M$16</f>
        <v>2358030</v>
      </c>
      <c r="N17" s="400">
        <f>N$15-N$16</f>
        <v>2568079.09</v>
      </c>
      <c r="O17" s="400">
        <f>O$15-O$16</f>
        <v>2084980.8793280788</v>
      </c>
      <c r="P17" s="400">
        <f>P$15-P$16</f>
        <v>7011089.9693280784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40</v>
      </c>
      <c r="I38" s="405">
        <v>18.579999999999998</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11.416666666666666</v>
      </c>
      <c r="K38" s="432">
        <f>SUM(H$38:J$38)+IF(AND(OR('Company Information'!$C$12="District of Columbia",'Company Information'!$C$12="Massachusetts",'Company Information'!$C$12="Vermont"),SUM($H$6:$K$11,$H$15:$K$16,$H$38:$I$38)&lt;&gt;0,SUM(H$38:I$38)&lt;&gt;SUM(C$38:D$38)),SUM(C$38:D$38),0)</f>
        <v>69.99666666666667</v>
      </c>
      <c r="L38" s="448"/>
      <c r="M38" s="404">
        <v>474</v>
      </c>
      <c r="N38" s="405">
        <v>470.75</v>
      </c>
      <c r="O38" s="432">
        <f>('Pt 1 Summary of Data'!Q$59+'Pt 1 Summary of Data'!S$59-'Pt 1 Summary of Data'!T$59)/12</f>
        <v>389.58333333333331</v>
      </c>
      <c r="P38" s="432">
        <f>SUM(M$38:O$38)</f>
        <v>1334.3333333333333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7.6090444444444447E-2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 ca="1">IF(OR(P$38&lt;1000,P$38&gt;=75000),0,P$39*P$41)</f>
        <v>7.6090444444444447E-2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f>IF(OR(P$38&lt;1000,P$17&lt;=0),"",P$12/P$17)</f>
        <v>0.89003342554698306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f ca="1">IF(P$45="","",P$42)</f>
        <v>7.6090444444444447E-2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f ca="1">IF(P$45="","",ROUND(P$45+MAX(0,P$47),3))</f>
        <v>0.96599999999999997</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f ca="1">P$48</f>
        <v>0.96599999999999997</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f>IF(P$38&lt;1000,"",MAX(0,O$15-O$16))</f>
        <v>2084980.8793280788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5</v>
      </c>
      <c r="E4" s="104">
        <f>'Pt 1 Summary of Data'!$Q$56+'Pt 1 Summary of Data'!$S$56-'Pt 1 Summary of Data'!$T$56</f>
        <v>172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