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P39" i="10" s="1"/>
  <c r="N45" i="10"/>
  <c r="M45" i="10"/>
  <c r="AB42" i="10"/>
  <c r="X42" i="10"/>
  <c r="T42" i="10"/>
  <c r="AB41" i="10"/>
  <c r="X41" i="10"/>
  <c r="T41" i="10"/>
  <c r="P41" i="10"/>
  <c r="K41" i="10"/>
  <c r="F41" i="10"/>
  <c r="AB39" i="10"/>
  <c r="X39"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3" i="10" s="1"/>
  <c r="S16" i="10"/>
  <c r="P16" i="10"/>
  <c r="O16" i="10"/>
  <c r="L16" i="10"/>
  <c r="K16" i="10"/>
  <c r="J16" i="10"/>
  <c r="G16" i="10"/>
  <c r="F16" i="10"/>
  <c r="E16" i="10"/>
  <c r="AB15" i="10"/>
  <c r="AA15" i="10"/>
  <c r="X15" i="10"/>
  <c r="W15" i="10"/>
  <c r="V13" i="10" s="1"/>
  <c r="T15" i="10"/>
  <c r="S15" i="10"/>
  <c r="P15" i="10"/>
  <c r="O15" i="10"/>
  <c r="L15" i="10"/>
  <c r="AB13" i="10"/>
  <c r="AA13" i="10"/>
  <c r="Z13" i="10"/>
  <c r="Y13" i="10"/>
  <c r="W13" i="10"/>
  <c r="U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C22" i="4" s="1"/>
  <c r="AB55" i="18"/>
  <c r="AB22" i="4" s="1"/>
  <c r="AA55" i="18"/>
  <c r="Z55" i="18"/>
  <c r="Z22" i="4" s="1"/>
  <c r="Y55" i="18"/>
  <c r="X55" i="18"/>
  <c r="X22" i="4" s="1"/>
  <c r="W55" i="18"/>
  <c r="W22" i="4" s="1"/>
  <c r="V55" i="18"/>
  <c r="V22" i="4" s="1"/>
  <c r="U55" i="18"/>
  <c r="T55" i="18"/>
  <c r="T22" i="4" s="1"/>
  <c r="S55" i="18"/>
  <c r="S22" i="4" s="1"/>
  <c r="R55" i="18"/>
  <c r="R22" i="4" s="1"/>
  <c r="Q55" i="18"/>
  <c r="P55" i="18"/>
  <c r="P22" i="4" s="1"/>
  <c r="O55" i="18"/>
  <c r="N55" i="18"/>
  <c r="N22" i="4" s="1"/>
  <c r="M55" i="18"/>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Z54" i="18"/>
  <c r="Y54" i="18"/>
  <c r="X54" i="18"/>
  <c r="W54" i="18"/>
  <c r="V54" i="18"/>
  <c r="U54" i="18"/>
  <c r="T54" i="18"/>
  <c r="S54" i="18"/>
  <c r="R54" i="18"/>
  <c r="Q54" i="18"/>
  <c r="P54" i="18"/>
  <c r="O54" i="18"/>
  <c r="N54" i="18"/>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A22" i="4"/>
  <c r="Y22" i="4"/>
  <c r="U22" i="4"/>
  <c r="Q22" i="4"/>
  <c r="O22" i="4"/>
  <c r="M22" i="4"/>
  <c r="AA12" i="4"/>
  <c r="Z12" i="4"/>
  <c r="Y12" i="4"/>
  <c r="X12" i="4"/>
  <c r="W12" i="4"/>
  <c r="V12" i="4"/>
  <c r="U12" i="4"/>
  <c r="T12" i="4"/>
  <c r="S12" i="4"/>
  <c r="R12" i="4"/>
  <c r="Q12" i="4"/>
  <c r="P12" i="4"/>
  <c r="O12" i="4"/>
  <c r="N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15" i="10" l="1"/>
  <c r="E15" i="10"/>
  <c r="L30" i="10"/>
  <c r="L31" i="10" s="1"/>
  <c r="L29" i="10" s="1"/>
  <c r="L33" i="10" s="1"/>
  <c r="L34" i="10" s="1"/>
  <c r="F15" i="10"/>
  <c r="K15" i="10"/>
  <c r="E7" i="10"/>
  <c r="G7" i="10"/>
  <c r="G27" i="10" s="1"/>
  <c r="J7" i="10"/>
  <c r="P42" i="10"/>
  <c r="P47" i="10" s="1"/>
  <c r="P48" i="10" s="1"/>
  <c r="P51" i="10" s="1"/>
  <c r="P53" i="10" s="1"/>
  <c r="E11" i="16" s="1"/>
  <c r="L21" i="10"/>
  <c r="L26" i="10" s="1"/>
  <c r="L25" i="10" s="1"/>
  <c r="L28" i="10" s="1"/>
  <c r="T13" i="10"/>
  <c r="R13" i="10"/>
  <c r="Q13" i="10"/>
  <c r="X13" i="10"/>
  <c r="G23" i="10" l="1"/>
  <c r="G20" i="10"/>
  <c r="G32" i="10"/>
  <c r="K7" i="10"/>
  <c r="H17" i="10" s="1"/>
  <c r="H45" i="10" s="1"/>
  <c r="G24" i="10"/>
  <c r="G19" i="10"/>
  <c r="G22" i="10" s="1"/>
  <c r="F7" i="10"/>
  <c r="C12" i="10" s="1"/>
  <c r="K17" i="10" l="1"/>
  <c r="I12" i="10"/>
  <c r="J38" i="10"/>
  <c r="K38" i="10" s="1"/>
  <c r="E17" i="10"/>
  <c r="E12" i="10"/>
  <c r="E38" i="10"/>
  <c r="J17" i="10"/>
  <c r="I17" i="10"/>
  <c r="I45" i="10" s="1"/>
  <c r="G30" i="10"/>
  <c r="G31" i="10" s="1"/>
  <c r="G29" i="10" s="1"/>
  <c r="G33" i="10" s="1"/>
  <c r="G34" i="10" s="1"/>
  <c r="F38" i="10"/>
  <c r="F17" i="10"/>
  <c r="J45" i="10"/>
  <c r="D17" i="10"/>
  <c r="D45" i="10" s="1"/>
  <c r="G21" i="10"/>
  <c r="G26" i="10" s="1"/>
  <c r="G25" i="10" s="1"/>
  <c r="G28" i="10" s="1"/>
  <c r="C17" i="10"/>
  <c r="H12" i="10"/>
  <c r="J12" i="10"/>
  <c r="D12" i="10"/>
  <c r="E45" i="10" l="1"/>
  <c r="K39" i="10"/>
  <c r="K42" i="10" s="1"/>
  <c r="K12" i="10"/>
  <c r="K45" i="10" s="1"/>
  <c r="K52" i="10"/>
  <c r="C45" i="10"/>
  <c r="F39" i="10" s="1"/>
  <c r="F12" i="10"/>
  <c r="F53" i="10"/>
  <c r="C11" i="16" s="1"/>
  <c r="F42" i="10"/>
  <c r="F52" i="10"/>
  <c r="F45" i="10"/>
  <c r="K47" i="10" l="1"/>
  <c r="K48" i="10" s="1"/>
  <c r="K51" i="10" s="1"/>
  <c r="K53" i="10" s="1"/>
  <c r="D11" i="16" s="1"/>
  <c r="F48" i="10"/>
  <c r="F51" i="10" s="1"/>
  <c r="F47" i="10"/>
</calcChain>
</file>

<file path=xl/sharedStrings.xml><?xml version="1.0" encoding="utf-8"?>
<sst xmlns="http://schemas.openxmlformats.org/spreadsheetml/2006/main" count="573" uniqueCount="511">
  <si>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</si>
  <si>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</si>
  <si>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</si>
  <si>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</si>
  <si>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</si>
  <si>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</si>
  <si>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</si>
  <si>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</si>
  <si>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</si>
  <si>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</si>
  <si>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</si>
  <si>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</si>
  <si>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</si>
  <si>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</si>
  <si>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</si>
  <si>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</si>
  <si>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</si>
  <si>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</si>
  <si>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</si>
  <si>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</si>
  <si>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</si>
  <si>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</si>
  <si>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</si>
  <si>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</si>
  <si>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</si>
  <si>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</si>
  <si>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</si>
  <si>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</si>
  <si>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</si>
  <si>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</si>
  <si>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</si>
  <si>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</si>
  <si>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</si>
  <si>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</si>
  <si>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</si>
  <si>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</si>
  <si>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</si>
  <si>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</si>
  <si>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</si>
  <si>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</si>
  <si>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</si>
  <si>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</si>
  <si>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</si>
  <si>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</si>
  <si>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</si>
  <si>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</si>
  <si>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</si>
  <si>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</si>
  <si>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</si>
  <si>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</si>
  <si>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</si>
  <si>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</si>
  <si>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</si>
  <si>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</si>
  <si>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</si>
  <si>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</si>
  <si>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</si>
  <si>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</si>
  <si>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</si>
  <si>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</si>
  <si>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</si>
  <si>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</si>
  <si>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</si>
  <si>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</si>
  <si>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</si>
  <si>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</si>
  <si>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</si>
  <si>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</si>
  <si>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</si>
  <si>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</si>
  <si>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</si>
  <si>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</si>
  <si>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</si>
  <si>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</si>
  <si>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</si>
  <si>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</si>
  <si>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</si>
  <si>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</si>
  <si>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</si>
  <si>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</si>
  <si>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</si>
  <si>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</si>
  <si>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</si>
  <si>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</si>
  <si>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</si>
  <si>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</si>
  <si>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</si>
  <si>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</si>
  <si>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</si>
  <si>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</si>
  <si>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</si>
  <si>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</si>
  <si>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</si>
  <si>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</si>
  <si>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</si>
  <si>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</si>
  <si>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</si>
  <si>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</si>
  <si>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</si>
  <si>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</si>
  <si>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</si>
  <si>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</si>
  <si>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</si>
  <si>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</si>
  <si>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</si>
  <si>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</si>
  <si>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</si>
  <si>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</si>
  <si>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</si>
  <si>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</si>
  <si>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</si>
  <si>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</si>
  <si>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</si>
  <si>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</si>
  <si>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</si>
  <si>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</si>
  <si>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</si>
  <si>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</si>
  <si>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</si>
  <si>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</si>
  <si>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</si>
  <si>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</si>
  <si>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</si>
  <si>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</si>
  <si>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</si>
  <si>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</si>
  <si>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</si>
  <si>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</si>
  <si>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</si>
  <si>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</si>
  <si>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</si>
  <si>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</si>
  <si>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</si>
  <si>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</si>
  <si>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</si>
  <si>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</si>
  <si>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</si>
  <si>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</si>
  <si>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</si>
  <si>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</si>
  <si>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</si>
  <si>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</si>
  <si>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</si>
  <si>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</si>
  <si>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</si>
  <si>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</si>
  <si>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</si>
  <si>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</si>
  <si>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</si>
  <si>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</si>
  <si>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</si>
  <si>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</si>
  <si>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</si>
  <si>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</si>
  <si>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</si>
  <si>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</si>
  <si>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</si>
  <si>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</si>
  <si>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</si>
  <si>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</si>
  <si>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</si>
  <si>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</si>
  <si>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</si>
  <si>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</si>
  <si>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</si>
  <si>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</si>
  <si>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</si>
  <si>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</si>
  <si>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</si>
  <si>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</si>
  <si>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</si>
  <si>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</si>
  <si>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</si>
  <si>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</si>
  <si>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</si>
  <si>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</si>
  <si>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</si>
  <si>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</si>
  <si>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</si>
  <si>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</si>
  <si>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</si>
  <si>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</si>
  <si>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</si>
  <si>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</si>
  <si>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</si>
  <si>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</si>
  <si>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</si>
  <si>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</si>
  <si>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</si>
  <si>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</si>
  <si>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</si>
  <si>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</si>
  <si>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</si>
  <si>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</si>
  <si>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</si>
  <si>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</si>
  <si>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</si>
  <si>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</si>
  <si>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</si>
  <si>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</si>
  <si>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</si>
  <si>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</si>
  <si>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</si>
  <si>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</si>
  <si>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</si>
  <si>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</si>
  <si>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</si>
  <si>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</si>
  <si>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</si>
  <si>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</si>
  <si>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</si>
  <si>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</si>
  <si>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</si>
  <si>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</si>
  <si>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</si>
  <si>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</si>
  <si>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</si>
  <si>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</si>
  <si>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</si>
  <si>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</si>
  <si>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</si>
  <si>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</si>
  <si>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</si>
  <si>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</si>
  <si>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</si>
  <si>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</si>
  <si>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</si>
  <si>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</si>
  <si>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</si>
  <si>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</si>
  <si>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</si>
  <si>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</si>
  <si>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</si>
  <si>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</si>
  <si>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</si>
  <si>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</si>
  <si>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</si>
  <si>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</si>
  <si>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</si>
  <si>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</si>
  <si>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</si>
  <si>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</si>
  <si>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</si>
  <si>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</si>
  <si>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</si>
  <si>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</si>
  <si>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</si>
  <si>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</si>
  <si>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</si>
  <si>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</si>
  <si>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</si>
  <si>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</si>
  <si>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</si>
  <si>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</si>
  <si>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</si>
  <si>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</si>
  <si>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</si>
  <si>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</si>
  <si>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</si>
  <si>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</si>
  <si>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</si>
  <si>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</si>
  <si>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</si>
  <si>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</si>
  <si>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</si>
  <si>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</si>
  <si>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</si>
  <si>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</si>
  <si>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</si>
  <si>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</si>
  <si>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</si>
  <si>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</si>
  <si>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</si>
  <si>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</si>
  <si>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</si>
  <si>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</si>
  <si>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</si>
  <si>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</si>
  <si>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</si>
  <si>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</si>
  <si>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</si>
  <si>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</si>
  <si>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</si>
  <si>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</si>
  <si>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</si>
  <si>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</si>
  <si>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</si>
  <si>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</si>
  <si>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</si>
  <si>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</si>
  <si>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</si>
  <si>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</si>
  <si>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</si>
  <si>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</si>
  <si>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</si>
  <si>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</si>
  <si>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</si>
  <si>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</si>
  <si>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</si>
  <si>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</si>
  <si>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</si>
  <si>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</si>
  <si>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</si>
  <si>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</si>
  <si>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</si>
  <si>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</si>
  <si>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</si>
  <si>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</si>
  <si>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</si>
  <si>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</si>
  <si>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</si>
  <si>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</si>
  <si>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</si>
  <si>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</si>
  <si>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</si>
  <si>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</si>
  <si>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</si>
  <si>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</si>
  <si>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</si>
  <si>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</si>
  <si>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</si>
  <si>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</si>
  <si>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</si>
  <si>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</si>
  <si>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</si>
  <si>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</si>
  <si>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</si>
  <si>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</si>
  <si>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</si>
  <si>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</si>
  <si>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</si>
  <si>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</si>
  <si>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</si>
  <si>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</si>
  <si>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</si>
  <si>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</si>
  <si>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</si>
  <si>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</si>
  <si>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</si>
  <si>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</si>
  <si>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</si>
  <si>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</si>
  <si>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</si>
  <si>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</si>
  <si>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</si>
  <si>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</si>
  <si>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</si>
  <si>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</si>
  <si>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</si>
  <si>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</si>
  <si>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</si>
  <si>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</si>
  <si>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</si>
  <si>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</si>
  <si>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</si>
  <si>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</si>
  <si>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</si>
  <si>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</si>
  <si>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</si>
  <si>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</si>
  <si>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</si>
  <si>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</si>
  <si>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</si>
  <si>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</si>
  <si>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</si>
  <si>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</si>
  <si>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</si>
  <si>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</si>
  <si>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</si>
  <si>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</si>
  <si>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</si>
  <si>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</si>
  <si>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</si>
  <si>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</si>
  <si>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</si>
  <si>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</si>
  <si>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</si>
  <si>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</si>
  <si>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</si>
  <si>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</si>
  <si>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</si>
  <si>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</si>
  <si>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</si>
  <si>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</si>
  <si>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</si>
  <si>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</si>
  <si>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</si>
  <si>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</si>
  <si>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</si>
  <si>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</si>
  <si>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</si>
  <si>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</si>
  <si>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</si>
  <si>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</si>
  <si>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</si>
  <si>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</si>
  <si>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</si>
  <si>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</si>
  <si>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</si>
  <si>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</si>
  <si>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</si>
  <si>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</si>
  <si>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</si>
  <si>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</si>
  <si>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</si>
  <si>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</si>
  <si>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</si>
  <si>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</si>
  <si>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</si>
  <si>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</si>
  <si>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</si>
  <si>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</si>
  <si>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</si>
  <si>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</si>
  <si>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</si>
  <si>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</si>
  <si>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</si>
  <si>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</si>
  <si>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</si>
  <si>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</si>
  <si>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</si>
  <si>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</si>
  <si>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</si>
  <si>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</si>
  <si>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</si>
  <si>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</si>
  <si>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</si>
  <si>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</si>
  <si>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</si>
  <si>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</si>
  <si>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</si>
  <si>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</si>
  <si>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</si>
  <si>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</si>
  <si>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</si>
  <si>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</si>
  <si>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</si>
  <si>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</si>
  <si>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</si>
  <si>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</si>
  <si>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</si>
  <si>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</si>
  <si>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</si>
  <si>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</si>
  <si>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</si>
  <si>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</si>
  <si>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</si>
  <si>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</si>
  <si>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</si>
  <si>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</si>
  <si>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</si>
  <si>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</si>
  <si>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</si>
  <si>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</si>
  <si>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</si>
  <si>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</si>
  <si>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</si>
  <si>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</si>
  <si>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</si>
  <si>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</si>
  <si>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</si>
  <si>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</si>
  <si>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</si>
  <si>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</si>
  <si>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</si>
  <si>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</si>
  <si>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</si>
  <si>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</si>
  <si>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</si>
  <si>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</si>
  <si>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</si>
  <si>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</si>
  <si>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</si>
  <si>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</si>
  <si>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</si>
  <si>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</si>
  <si>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</si>
  <si>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</si>
  <si>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</si>
  <si>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</si>
  <si>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</si>
  <si>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</si>
  <si>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</si>
  <si>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</si>
  <si>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</si>
  <si>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</si>
  <si>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</si>
  <si>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</si>
  <si>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</si>
  <si>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</si>
  <si>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</si>
  <si>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</si>
  <si>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</si>
  <si>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</si>
  <si>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</si>
  <si>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</si>
  <si>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</si>
  <si>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</si>
  <si>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</si>
  <si>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</si>
  <si>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</si>
  <si>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</si>
  <si>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</si>
  <si>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</si>
  <si>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</si>
  <si>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93696</t>
  </si>
  <si>
    <t>215</t>
  </si>
  <si>
    <t>Humana Insurance Company</t>
  </si>
  <si>
    <t>Humana Health Plan of Ohio, Inc.</t>
  </si>
  <si>
    <t>Humana Employers Health Plan of Georgia, Inc.</t>
  </si>
  <si>
    <t>Humana Health Plan of Texas,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</si>
</sst>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174</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1358557</v>
      </c>
      <c r="K5" s="213">
        <f>SUM('Pt 2 Premium and Claims'!K$5,'Pt 2 Premium and Claims'!K$6,-'Pt 2 Premium and Claims'!K$7,-'Pt 2 Premium and Claims'!K$13,'Pt 2 Premium and Claims'!K$14,'Pt 2 Premium and Claims'!K$16:'Pt 2 Premium and Claims'!K$17)</f>
        <v>2266287.88</v>
      </c>
      <c r="L5" s="213">
        <f>SUM('Pt 2 Premium and Claims'!L$5,'Pt 2 Premium and Claims'!L$6,-'Pt 2 Premium and Claims'!L$7,-'Pt 2 Premium and Claims'!L$13,'Pt 2 Premium and Claims'!L$14,'Pt 2 Premium and Claims'!L$16:'Pt 2 Premium and Claims'!L$17)</f>
        <v>707377.92</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1764125</v>
      </c>
      <c r="Q5" s="213">
        <f>SUM('Pt 2 Premium and Claims'!Q$5,'Pt 2 Premium and Claims'!Q$6,-'Pt 2 Premium and Claims'!Q$7,-'Pt 2 Premium and Claims'!Q$13,'Pt 2 Premium and Claims'!Q$14)</f>
        <v>2455025.13</v>
      </c>
      <c r="R5" s="213">
        <f>SUM('Pt 2 Premium and Claims'!R$5,'Pt 2 Premium and Claims'!R$6,-'Pt 2 Premium and Claims'!R$7,-'Pt 2 Premium and Claims'!R$13,'Pt 2 Premium and Claims'!R$14)</f>
        <v>713729.33</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v>-0.14000000000000001</v>
      </c>
      <c r="L7" s="217">
        <v>-0.14000000000000001</v>
      </c>
      <c r="M7" s="217"/>
      <c r="N7" s="217"/>
      <c r="O7" s="216"/>
      <c r="P7" s="216">
        <v>0</v>
      </c>
      <c r="Q7" s="217">
        <v>-29.68</v>
      </c>
      <c r="R7" s="217">
        <v>-29.68</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-3095</v>
      </c>
      <c r="K8" s="268"/>
      <c r="L8" s="269"/>
      <c r="M8" s="269"/>
      <c r="N8" s="269"/>
      <c r="O8" s="272"/>
      <c r="P8" s="216">
        <v>-3221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1346581</v>
      </c>
      <c r="K12" s="213">
        <f>'Pt 2 Premium and Claims'!K$54</f>
        <v>2453983.1575910244</v>
      </c>
      <c r="L12" s="213">
        <f>'Pt 2 Premium and Claims'!L$54</f>
        <v>677404.09638819867</v>
      </c>
      <c r="M12" s="213">
        <f>'Pt 2 Premium and Claims'!M$54</f>
        <v>0</v>
      </c>
      <c r="N12" s="213">
        <f>'Pt 2 Premium and Claims'!N$54</f>
        <v>0</v>
      </c>
      <c r="O12" s="212">
        <f>'Pt 2 Premium and Claims'!O$54</f>
        <v>0</v>
      </c>
      <c r="P12" s="212">
        <f>'Pt 2 Premium and Claims'!P$54</f>
        <v>1019448</v>
      </c>
      <c r="Q12" s="213">
        <f>'Pt 2 Premium and Claims'!Q$54</f>
        <v>1996637.1905699747</v>
      </c>
      <c r="R12" s="213">
        <f>'Pt 2 Premium and Claims'!R$54</f>
        <v>749108.37301781354</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c r="F13" s="217"/>
      <c r="G13" s="268"/>
      <c r="H13" s="269"/>
      <c r="I13" s="216"/>
      <c r="J13" s="216">
        <v>643797</v>
      </c>
      <c r="K13" s="217">
        <v>674674.75668804476</v>
      </c>
      <c r="L13" s="217"/>
      <c r="M13" s="268"/>
      <c r="N13" s="269"/>
      <c r="O13" s="216"/>
      <c r="P13" s="216">
        <v>452576</v>
      </c>
      <c r="Q13" s="217">
        <v>423322.85600428068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44788</v>
      </c>
      <c r="K14" s="217">
        <v>49682.232497661542</v>
      </c>
      <c r="L14" s="217"/>
      <c r="M14" s="267"/>
      <c r="N14" s="270"/>
      <c r="O14" s="216"/>
      <c r="P14" s="216">
        <v>88750</v>
      </c>
      <c r="Q14" s="217">
        <v>85310.46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10</v>
      </c>
      <c r="K15" s="217">
        <v>33.630000000000003</v>
      </c>
      <c r="L15" s="217">
        <v>23.21</v>
      </c>
      <c r="M15" s="267"/>
      <c r="N15" s="273"/>
      <c r="O15" s="216"/>
      <c r="P15" s="216">
        <v>15</v>
      </c>
      <c r="Q15" s="217">
        <v>38.49</v>
      </c>
      <c r="R15" s="217">
        <v>23.11</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15723</v>
      </c>
      <c r="K17" s="267"/>
      <c r="L17" s="270"/>
      <c r="M17" s="270"/>
      <c r="N17" s="270"/>
      <c r="O17" s="271"/>
      <c r="P17" s="216">
        <v>232907</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49092</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16143</v>
      </c>
      <c r="K19" s="267"/>
      <c r="L19" s="270"/>
      <c r="M19" s="270"/>
      <c r="N19" s="270"/>
      <c r="O19" s="271"/>
      <c r="P19" s="216">
        <v>291160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420</v>
      </c>
      <c r="K20" s="267"/>
      <c r="L20" s="270"/>
      <c r="M20" s="270"/>
      <c r="N20" s="270"/>
      <c r="O20" s="271"/>
      <c r="P20" s="216">
        <v>9162</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395</v>
      </c>
      <c r="K22" s="222">
        <f>'Pt 2 Premium and Claims'!K$55</f>
        <v>797.52</v>
      </c>
      <c r="L22" s="222">
        <f>'Pt 2 Premium and Claims'!L$55</f>
        <v>402.46</v>
      </c>
      <c r="M22" s="222">
        <f>'Pt 2 Premium and Claims'!M$55</f>
        <v>0</v>
      </c>
      <c r="N22" s="222">
        <f>'Pt 2 Premium and Claims'!N$55</f>
        <v>0</v>
      </c>
      <c r="O22" s="221">
        <f>'Pt 2 Premium and Claims'!O$55</f>
        <v>0</v>
      </c>
      <c r="P22" s="221">
        <f>'Pt 2 Premium and Claims'!P$55</f>
        <v>2728</v>
      </c>
      <c r="Q22" s="222">
        <f>'Pt 2 Premium and Claims'!Q$55</f>
        <v>3098.43</v>
      </c>
      <c r="R22" s="222">
        <f>'Pt 2 Premium and Claims'!R$55</f>
        <v>370.65</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-145671.75</v>
      </c>
      <c r="K25" s="217">
        <v>82854.018672441249</v>
      </c>
      <c r="L25" s="217">
        <v>27075.290937390771</v>
      </c>
      <c r="M25" s="217"/>
      <c r="N25" s="217"/>
      <c r="O25" s="216"/>
      <c r="P25" s="216">
        <v>2967.81</v>
      </c>
      <c r="Q25" s="217">
        <v>-386895.70343017706</v>
      </c>
      <c r="R25" s="217">
        <v>-188414.27344708605</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751.41</v>
      </c>
      <c r="K26" s="217">
        <v>1100.21</v>
      </c>
      <c r="L26" s="217">
        <v>348.8</v>
      </c>
      <c r="M26" s="217"/>
      <c r="N26" s="217"/>
      <c r="O26" s="216"/>
      <c r="P26" s="216">
        <v>2116.4699999999998</v>
      </c>
      <c r="Q26" s="217">
        <v>3210.38</v>
      </c>
      <c r="R26" s="217">
        <v>1093.9100000000001</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25208.51</v>
      </c>
      <c r="K27" s="217">
        <v>37433.11</v>
      </c>
      <c r="L27" s="217">
        <v>12224.6</v>
      </c>
      <c r="M27" s="217"/>
      <c r="N27" s="217"/>
      <c r="O27" s="216"/>
      <c r="P27" s="216">
        <v>35037.46</v>
      </c>
      <c r="Q27" s="217">
        <v>46396.98</v>
      </c>
      <c r="R27" s="217">
        <v>11359.52</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2788.95</v>
      </c>
      <c r="K28" s="217">
        <v>4105.58</v>
      </c>
      <c r="L28" s="217">
        <v>1316.63</v>
      </c>
      <c r="M28" s="217"/>
      <c r="N28" s="217"/>
      <c r="O28" s="216"/>
      <c r="P28" s="216">
        <v>4118.16</v>
      </c>
      <c r="Q28" s="217">
        <v>5970.01</v>
      </c>
      <c r="R28" s="217">
        <v>1851.85</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-11650.52</v>
      </c>
      <c r="K30" s="217">
        <v>8494.6460490022928</v>
      </c>
      <c r="L30" s="217">
        <v>2271.9536444809883</v>
      </c>
      <c r="M30" s="217"/>
      <c r="N30" s="217"/>
      <c r="O30" s="216"/>
      <c r="P30" s="216">
        <v>1983.36</v>
      </c>
      <c r="Q30" s="217">
        <v>-30417.414436647789</v>
      </c>
      <c r="R30" s="217">
        <v>-14527.671848712302</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61364.95</v>
      </c>
      <c r="K31" s="217">
        <v>90502.7</v>
      </c>
      <c r="L31" s="217">
        <v>29137.75</v>
      </c>
      <c r="M31" s="217"/>
      <c r="N31" s="217"/>
      <c r="O31" s="216"/>
      <c r="P31" s="216">
        <v>66987.490000000005</v>
      </c>
      <c r="Q31" s="217">
        <v>96029.1</v>
      </c>
      <c r="R31" s="217">
        <v>29041.61</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26305.16</v>
      </c>
      <c r="K34" s="217">
        <v>26305.16</v>
      </c>
      <c r="L34" s="217"/>
      <c r="M34" s="217"/>
      <c r="N34" s="217"/>
      <c r="O34" s="216"/>
      <c r="P34" s="216">
        <v>34538.47</v>
      </c>
      <c r="Q34" s="217">
        <v>34538.47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1226.1600000000001</v>
      </c>
      <c r="K35" s="217">
        <v>1820.15</v>
      </c>
      <c r="L35" s="217">
        <v>593.99</v>
      </c>
      <c r="M35" s="217"/>
      <c r="N35" s="217"/>
      <c r="O35" s="216"/>
      <c r="P35" s="216">
        <v>1260.56</v>
      </c>
      <c r="Q35" s="217">
        <v>1846.47</v>
      </c>
      <c r="R35" s="217">
        <v>585.91</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2232</v>
      </c>
      <c r="K37" s="225">
        <v>2218.77</v>
      </c>
      <c r="L37" s="225">
        <v>-12.92</v>
      </c>
      <c r="M37" s="225"/>
      <c r="N37" s="225"/>
      <c r="O37" s="224"/>
      <c r="P37" s="224">
        <v>13668</v>
      </c>
      <c r="Q37" s="225">
        <v>19600.96</v>
      </c>
      <c r="R37" s="225">
        <v>5932.59</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c r="F38" s="217"/>
      <c r="G38" s="217"/>
      <c r="H38" s="217"/>
      <c r="I38" s="216"/>
      <c r="J38" s="216">
        <v>-1739</v>
      </c>
      <c r="K38" s="217">
        <v>-2398.6799999999998</v>
      </c>
      <c r="L38" s="217">
        <v>-659.4</v>
      </c>
      <c r="M38" s="217"/>
      <c r="N38" s="217"/>
      <c r="O38" s="216"/>
      <c r="P38" s="216">
        <v>4463</v>
      </c>
      <c r="Q38" s="217">
        <v>10472.379999999999</v>
      </c>
      <c r="R38" s="217">
        <v>6009.12</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2633</v>
      </c>
      <c r="K39" s="217">
        <v>2668.31</v>
      </c>
      <c r="L39" s="217">
        <v>34.869999999999997</v>
      </c>
      <c r="M39" s="217"/>
      <c r="N39" s="217"/>
      <c r="O39" s="216"/>
      <c r="P39" s="216">
        <v>5942</v>
      </c>
      <c r="Q39" s="217">
        <v>7084.1</v>
      </c>
      <c r="R39" s="217">
        <v>1142.25</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c r="F40" s="217"/>
      <c r="G40" s="217"/>
      <c r="H40" s="217"/>
      <c r="I40" s="216"/>
      <c r="J40" s="216">
        <v>17924</v>
      </c>
      <c r="K40" s="217">
        <v>18272.2</v>
      </c>
      <c r="L40" s="217">
        <v>348.07</v>
      </c>
      <c r="M40" s="217"/>
      <c r="N40" s="217"/>
      <c r="O40" s="216"/>
      <c r="P40" s="216">
        <v>35667</v>
      </c>
      <c r="Q40" s="217">
        <v>40461.22</v>
      </c>
      <c r="R40" s="217">
        <v>4794.2</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c r="F41" s="217"/>
      <c r="G41" s="217"/>
      <c r="H41" s="217"/>
      <c r="I41" s="216"/>
      <c r="J41" s="216">
        <v>2315</v>
      </c>
      <c r="K41" s="217">
        <v>3395.99</v>
      </c>
      <c r="L41" s="217">
        <v>1081.27</v>
      </c>
      <c r="M41" s="217"/>
      <c r="N41" s="217"/>
      <c r="O41" s="216"/>
      <c r="P41" s="216">
        <v>3363</v>
      </c>
      <c r="Q41" s="217">
        <v>4771.66</v>
      </c>
      <c r="R41" s="217">
        <v>1409.09</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15766</v>
      </c>
      <c r="K44" s="225">
        <v>19735.939999999999</v>
      </c>
      <c r="L44" s="225">
        <v>3969.54</v>
      </c>
      <c r="M44" s="225"/>
      <c r="N44" s="225"/>
      <c r="O44" s="224"/>
      <c r="P44" s="224">
        <v>24865</v>
      </c>
      <c r="Q44" s="225">
        <v>31941.81</v>
      </c>
      <c r="R44" s="225">
        <v>7076.92</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c r="F45" s="217"/>
      <c r="G45" s="217"/>
      <c r="H45" s="217"/>
      <c r="I45" s="216"/>
      <c r="J45" s="216">
        <v>10674</v>
      </c>
      <c r="K45" s="217">
        <v>14460.14</v>
      </c>
      <c r="L45" s="217">
        <v>3786.24</v>
      </c>
      <c r="M45" s="217"/>
      <c r="N45" s="217"/>
      <c r="O45" s="216"/>
      <c r="P45" s="216">
        <v>15165</v>
      </c>
      <c r="Q45" s="217">
        <v>18632.11</v>
      </c>
      <c r="R45" s="217">
        <v>3466.86</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c r="F46" s="217"/>
      <c r="G46" s="217"/>
      <c r="H46" s="217"/>
      <c r="I46" s="216"/>
      <c r="J46" s="216">
        <v>6934</v>
      </c>
      <c r="K46" s="217">
        <v>10154.4</v>
      </c>
      <c r="L46" s="217">
        <v>3219.96</v>
      </c>
      <c r="M46" s="217"/>
      <c r="N46" s="217"/>
      <c r="O46" s="216"/>
      <c r="P46" s="216">
        <v>10797</v>
      </c>
      <c r="Q46" s="217">
        <v>15304.91</v>
      </c>
      <c r="R46" s="217">
        <v>4507.8599999999997</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c r="F47" s="217"/>
      <c r="G47" s="217"/>
      <c r="H47" s="217"/>
      <c r="I47" s="216"/>
      <c r="J47" s="216">
        <v>144905</v>
      </c>
      <c r="K47" s="217">
        <v>145395.01</v>
      </c>
      <c r="L47" s="217">
        <v>489.84</v>
      </c>
      <c r="M47" s="217"/>
      <c r="N47" s="217"/>
      <c r="O47" s="216"/>
      <c r="P47" s="216">
        <v>170025</v>
      </c>
      <c r="Q47" s="217">
        <v>170714.23999999999</v>
      </c>
      <c r="R47" s="217">
        <v>689.02</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-90039.41</v>
      </c>
      <c r="K49" s="217">
        <v>-91436.65</v>
      </c>
      <c r="L49" s="217">
        <v>-1397.24</v>
      </c>
      <c r="M49" s="217"/>
      <c r="N49" s="217"/>
      <c r="O49" s="216"/>
      <c r="P49" s="216">
        <v>52303.63</v>
      </c>
      <c r="Q49" s="217">
        <v>49122.98</v>
      </c>
      <c r="R49" s="217">
        <v>-3180.65</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c r="F51" s="217"/>
      <c r="G51" s="217"/>
      <c r="H51" s="217"/>
      <c r="I51" s="216"/>
      <c r="J51" s="216">
        <v>99917</v>
      </c>
      <c r="K51" s="217">
        <v>143137.10999999999</v>
      </c>
      <c r="L51" s="217">
        <v>43220.05</v>
      </c>
      <c r="M51" s="217"/>
      <c r="N51" s="217"/>
      <c r="O51" s="216"/>
      <c r="P51" s="216">
        <v>124094</v>
      </c>
      <c r="Q51" s="217">
        <v>177682.11</v>
      </c>
      <c r="R51" s="217">
        <v>53588.54</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198</v>
      </c>
      <c r="K56" s="229">
        <v>198</v>
      </c>
      <c r="L56" s="229">
        <v>0</v>
      </c>
      <c r="M56" s="229"/>
      <c r="N56" s="229"/>
      <c r="O56" s="228"/>
      <c r="P56" s="228">
        <v>442</v>
      </c>
      <c r="Q56" s="229">
        <v>442</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c r="F57" s="232"/>
      <c r="G57" s="232"/>
      <c r="H57" s="232"/>
      <c r="I57" s="231"/>
      <c r="J57" s="231">
        <v>369</v>
      </c>
      <c r="K57" s="232">
        <v>370</v>
      </c>
      <c r="L57" s="232">
        <v>139</v>
      </c>
      <c r="M57" s="232"/>
      <c r="N57" s="232"/>
      <c r="O57" s="231"/>
      <c r="P57" s="231">
        <v>716</v>
      </c>
      <c r="Q57" s="232">
        <v>716</v>
      </c>
      <c r="R57" s="232">
        <v>195</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24</v>
      </c>
      <c r="K58" s="232">
        <v>24</v>
      </c>
      <c r="L58" s="232"/>
      <c r="M58" s="232"/>
      <c r="N58" s="232"/>
      <c r="O58" s="231"/>
      <c r="P58" s="231">
        <v>12</v>
      </c>
      <c r="Q58" s="232">
        <v>12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6407</v>
      </c>
      <c r="K59" s="232">
        <v>6414</v>
      </c>
      <c r="L59" s="232">
        <v>2058</v>
      </c>
      <c r="M59" s="232"/>
      <c r="N59" s="232"/>
      <c r="O59" s="231"/>
      <c r="P59" s="231">
        <v>8960</v>
      </c>
      <c r="Q59" s="232">
        <v>8828</v>
      </c>
      <c r="R59" s="232">
        <v>2649</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533.91666666666663</v>
      </c>
      <c r="K60" s="235">
        <f t="shared" si="0"/>
        <v>534.5</v>
      </c>
      <c r="L60" s="235">
        <f t="shared" si="0"/>
        <v>171.5</v>
      </c>
      <c r="M60" s="235">
        <f t="shared" si="0"/>
        <v>0</v>
      </c>
      <c r="N60" s="235">
        <f t="shared" si="0"/>
        <v>0</v>
      </c>
      <c r="O60" s="234">
        <f t="shared" si="0"/>
        <v>0</v>
      </c>
      <c r="P60" s="234">
        <f t="shared" si="0"/>
        <v>746.66666666666663</v>
      </c>
      <c r="Q60" s="235">
        <f t="shared" si="0"/>
        <v>735.66666666666663</v>
      </c>
      <c r="R60" s="235">
        <f t="shared" si="0"/>
        <v>220.75</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1358557</v>
      </c>
      <c r="K5" s="326">
        <v>2315253.35</v>
      </c>
      <c r="L5" s="326">
        <v>707377.92</v>
      </c>
      <c r="M5" s="326"/>
      <c r="N5" s="326"/>
      <c r="O5" s="325"/>
      <c r="P5" s="325">
        <v>1764125</v>
      </c>
      <c r="Q5" s="326">
        <v>2455025.13</v>
      </c>
      <c r="R5" s="326">
        <v>713729.33</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49092</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v>0</v>
      </c>
      <c r="L10" s="319">
        <v>0</v>
      </c>
      <c r="M10" s="319"/>
      <c r="N10" s="319"/>
      <c r="O10" s="318"/>
      <c r="P10" s="365"/>
      <c r="Q10" s="319">
        <v>0</v>
      </c>
      <c r="R10" s="319">
        <v>0</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420</v>
      </c>
      <c r="K11" s="319"/>
      <c r="L11" s="319"/>
      <c r="M11" s="319"/>
      <c r="N11" s="319"/>
      <c r="O11" s="318"/>
      <c r="P11" s="318">
        <v>9162</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16143</v>
      </c>
      <c r="K12" s="363"/>
      <c r="L12" s="363"/>
      <c r="M12" s="363"/>
      <c r="N12" s="363"/>
      <c r="O12" s="365"/>
      <c r="P12" s="318">
        <v>291160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-48965.47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1385246</v>
      </c>
      <c r="K23" s="362"/>
      <c r="L23" s="362"/>
      <c r="M23" s="362"/>
      <c r="N23" s="362"/>
      <c r="O23" s="364"/>
      <c r="P23" s="318">
        <v>1306773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63675</v>
      </c>
      <c r="AU23" s="321">
        <v>0</v>
      </c>
      <c r="AV23" s="368"/>
      <c r="AW23" s="374"/>
    </row>
    <row r="24" spans="2:49" ht="28.5" customHeight="1" x14ac:dyDescent="0.2">
      <c r="B24" s="345" t="s">
        <v>114</v>
      </c>
      <c r="C24" s="331"/>
      <c r="D24" s="365"/>
      <c r="E24" s="319"/>
      <c r="F24" s="319"/>
      <c r="G24" s="319"/>
      <c r="H24" s="319"/>
      <c r="I24" s="318"/>
      <c r="J24" s="365"/>
      <c r="K24" s="319">
        <v>2469167.0299999998</v>
      </c>
      <c r="L24" s="319">
        <v>773104.05</v>
      </c>
      <c r="M24" s="319"/>
      <c r="N24" s="319"/>
      <c r="O24" s="318"/>
      <c r="P24" s="365"/>
      <c r="Q24" s="319">
        <v>1975145.77</v>
      </c>
      <c r="R24" s="319">
        <v>733286.01</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101071</v>
      </c>
      <c r="K26" s="362"/>
      <c r="L26" s="362"/>
      <c r="M26" s="362"/>
      <c r="N26" s="362"/>
      <c r="O26" s="364"/>
      <c r="P26" s="318">
        <v>120828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v>36431.110088686059</v>
      </c>
      <c r="L27" s="319">
        <v>16217.4221</v>
      </c>
      <c r="M27" s="319"/>
      <c r="N27" s="319"/>
      <c r="O27" s="318"/>
      <c r="P27" s="365"/>
      <c r="Q27" s="319">
        <v>21368.962084409082</v>
      </c>
      <c r="R27" s="319">
        <v>13078.1263</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94594</v>
      </c>
      <c r="K28" s="363"/>
      <c r="L28" s="363"/>
      <c r="M28" s="363"/>
      <c r="N28" s="363"/>
      <c r="O28" s="365"/>
      <c r="P28" s="318">
        <v>177529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63675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1925</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-1932.75</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3857</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49092</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v>0</v>
      </c>
      <c r="L39" s="319">
        <v>0</v>
      </c>
      <c r="M39" s="319"/>
      <c r="N39" s="319"/>
      <c r="O39" s="318"/>
      <c r="P39" s="365"/>
      <c r="Q39" s="319">
        <v>0</v>
      </c>
      <c r="R39" s="319">
        <v>0</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420</v>
      </c>
      <c r="K41" s="362"/>
      <c r="L41" s="362"/>
      <c r="M41" s="362"/>
      <c r="N41" s="362"/>
      <c r="O41" s="364"/>
      <c r="P41" s="318">
        <v>9162</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16143</v>
      </c>
      <c r="K43" s="363"/>
      <c r="L43" s="363"/>
      <c r="M43" s="363"/>
      <c r="N43" s="363"/>
      <c r="O43" s="365"/>
      <c r="P43" s="318">
        <v>291160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39152</v>
      </c>
      <c r="K49" s="319">
        <v>49682.232497661542</v>
      </c>
      <c r="L49" s="319"/>
      <c r="M49" s="319"/>
      <c r="N49" s="319"/>
      <c r="O49" s="318"/>
      <c r="P49" s="318">
        <v>22</v>
      </c>
      <c r="Q49" s="319">
        <v>85310.46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11665</v>
      </c>
      <c r="K50" s="363"/>
      <c r="L50" s="363"/>
      <c r="M50" s="363"/>
      <c r="N50" s="363"/>
      <c r="O50" s="365"/>
      <c r="P50" s="318">
        <v>2304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-7.9999999999999994E-34</v>
      </c>
      <c r="L53" s="319">
        <v>-111917.37571180135</v>
      </c>
      <c r="M53" s="319"/>
      <c r="N53" s="319"/>
      <c r="O53" s="318"/>
      <c r="P53" s="318">
        <v>0</v>
      </c>
      <c r="Q53" s="319">
        <v>85432.91848556562</v>
      </c>
      <c r="R53" s="319">
        <v>2744.2367178135114</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1346581</v>
      </c>
      <c r="K54" s="323">
        <f>K24+K27+K31+K35-K36+K39+K42+K45+K46-K49+K51+K52+K53</f>
        <v>2453983.1575910244</v>
      </c>
      <c r="L54" s="323">
        <f>L24+L27+L31+L35-L36+L39+L42+L45+L46-L49+L51+L52+L53</f>
        <v>677404.09638819867</v>
      </c>
      <c r="M54" s="323">
        <f>M24+M27+M31+M35-M36+M39+M42+M45+M46-M49+M51+M52+M53</f>
        <v>0</v>
      </c>
      <c r="N54" s="323">
        <f>N24+N27+N31+N35-N36+N39+N42+N45+N46-N49+N51+N52+N53</f>
        <v>0</v>
      </c>
      <c r="O54" s="322">
        <f>O24+O27+O31+O35-O36+O39+O42+O45+O46-O49+O51+O52+O53</f>
        <v>0</v>
      </c>
      <c r="P54" s="322">
        <f>P23+P26-P28+P30-P32+P34-P36+P38+P41-P43+P45+P46-P47-P49+P50+P51+P52+P53</f>
        <v>1019448</v>
      </c>
      <c r="Q54" s="323">
        <f>Q24+Q27+Q31+Q35-Q36+Q39+Q42+Q45+Q46-Q49+Q51+Q52+Q53</f>
        <v>1996637.1905699747</v>
      </c>
      <c r="R54" s="323">
        <f>R24+R27+R31+R35-R36+R39+R42+R45+R46-R49+R51+R52+R53</f>
        <v>749108.37301781354</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395</v>
      </c>
      <c r="K55" s="323">
        <f t="shared" si="0"/>
        <v>797.52</v>
      </c>
      <c r="L55" s="323">
        <f t="shared" si="0"/>
        <v>402.46</v>
      </c>
      <c r="M55" s="323">
        <f t="shared" si="0"/>
        <v>0</v>
      </c>
      <c r="N55" s="323">
        <f t="shared" si="0"/>
        <v>0</v>
      </c>
      <c r="O55" s="322">
        <f t="shared" si="0"/>
        <v>0</v>
      </c>
      <c r="P55" s="322">
        <f t="shared" si="0"/>
        <v>2728</v>
      </c>
      <c r="Q55" s="323">
        <f t="shared" si="0"/>
        <v>3098.43</v>
      </c>
      <c r="R55" s="323">
        <f t="shared" si="0"/>
        <v>370.65</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v>2291.9</v>
      </c>
      <c r="K56" s="319">
        <v>3370.29</v>
      </c>
      <c r="L56" s="319">
        <v>1078.3900000000001</v>
      </c>
      <c r="M56" s="319"/>
      <c r="N56" s="319"/>
      <c r="O56" s="318"/>
      <c r="P56" s="318">
        <v>3340.36</v>
      </c>
      <c r="Q56" s="319">
        <v>4743.71</v>
      </c>
      <c r="R56" s="319">
        <v>1403.35</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395</v>
      </c>
      <c r="K57" s="319">
        <v>797.52</v>
      </c>
      <c r="L57" s="319">
        <v>402.46</v>
      </c>
      <c r="M57" s="319"/>
      <c r="N57" s="319"/>
      <c r="O57" s="318"/>
      <c r="P57" s="318">
        <v>2728</v>
      </c>
      <c r="Q57" s="319">
        <v>3098.43</v>
      </c>
      <c r="R57" s="319">
        <v>370.65</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v>2051937.63</v>
      </c>
      <c r="I5" s="403">
        <v>2632974.84</v>
      </c>
      <c r="J5" s="454"/>
      <c r="K5" s="454"/>
      <c r="L5" s="448"/>
      <c r="M5" s="402">
        <v>1022770.27</v>
      </c>
      <c r="N5" s="403">
        <v>2040118.22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-30.848500000000001</v>
      </c>
      <c r="E6" s="400">
        <f>SUM('Pt 1 Summary of Data'!E$12,'Pt 1 Summary of Data'!E$22)+SUM('Pt 1 Summary of Data'!G$12,'Pt 1 Summary of Data'!G$22)-SUM('Pt 1 Summary of Data'!H$12,'Pt 1 Summary of Data'!H$22)</f>
        <v>0</v>
      </c>
      <c r="F6" s="400">
        <f t="shared" ref="F6:F11" si="0">SUM(C6:E6)</f>
        <v>-30.848500000000001</v>
      </c>
      <c r="G6" s="401">
        <f>SUM('Pt 1 Summary of Data'!I$12,'Pt 1 Summary of Data'!I$22)</f>
        <v>0</v>
      </c>
      <c r="H6" s="397">
        <v>1745620.4388237088</v>
      </c>
      <c r="I6" s="398">
        <v>2705220.8031560937</v>
      </c>
      <c r="J6" s="400">
        <f>SUM('Pt 1 Summary of Data'!K$12,'Pt 1 Summary of Data'!K$22)+SUM('Pt 1 Summary of Data'!M$12,'Pt 1 Summary of Data'!M$22)-SUM('Pt 1 Summary of Data'!N$12,'Pt 1 Summary of Data'!N$22)</f>
        <v>2454780.6775910244</v>
      </c>
      <c r="K6" s="400">
        <f>SUM(H6:J6)</f>
        <v>6905621.919570826</v>
      </c>
      <c r="L6" s="401">
        <f>SUM('Pt 1 Summary of Data'!O$12,'Pt 1 Summary of Data'!O$22)</f>
        <v>0</v>
      </c>
      <c r="M6" s="397">
        <v>1384153.7508895409</v>
      </c>
      <c r="N6" s="398">
        <v>1920438.1641960868</v>
      </c>
      <c r="O6" s="400">
        <f>SUM('Pt 1 Summary of Data'!Q$12,'Pt 1 Summary of Data'!Q$22)+SUM('Pt 1 Summary of Data'!S$12,'Pt 1 Summary of Data'!S$22)-SUM('Pt 1 Summary of Data'!T$12,'Pt 1 Summary of Data'!T$22)</f>
        <v>1999735.6205699746</v>
      </c>
      <c r="P6" s="400">
        <f>SUM(M6:O6)</f>
        <v>5304327.5356556028</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51524.33</v>
      </c>
      <c r="I7" s="398">
        <v>49332.13</v>
      </c>
      <c r="J7" s="400">
        <f>SUM('Pt 1 Summary of Data'!K$37:K$41)+SUM('Pt 1 Summary of Data'!M$37:M$41)-SUM('Pt 1 Summary of Data'!N$37:N$41)+MAX(0,MIN('Pt 1 Summary of Data'!K$42+'Pt 1 Summary of Data'!M$42-'Pt 1 Summary of Data'!N$42,0.3%*('Pt 1 Summary of Data'!K$5+'Pt 1 Summary of Data'!M$5-'Pt 1 Summary of Data'!N$5-SUM(J$10:J$11))))</f>
        <v>24156.590000000004</v>
      </c>
      <c r="K7" s="400">
        <f>SUM(H7:J7)</f>
        <v>125013.04999999999</v>
      </c>
      <c r="L7" s="401">
        <f>SUM('Pt 1 Summary of Data'!O$37:O$41)+MAX(0,MIN(VALUE('Pt 1 Summary of Data'!O$42),0.3%*('Pt 1 Summary of Data'!O$5-L$10)))</f>
        <v>0</v>
      </c>
      <c r="M7" s="397">
        <v>26445.38</v>
      </c>
      <c r="N7" s="398">
        <v>34136.239999999998</v>
      </c>
      <c r="O7" s="400">
        <f>SUM('Pt 1 Summary of Data'!Q$37:Q$41)+SUM('Pt 1 Summary of Data'!S$37:S$41)-SUM('Pt 1 Summary of Data'!T$37:T$41)+MAX(0,MIN('Pt 1 Summary of Data'!Q$42+'Pt 1 Summary of Data'!S$42-'Pt 1 Summary of Data'!T$42,0.3%*('Pt 1 Summary of Data'!Q$5+'Pt 1 Summary of Data'!S$5-'Pt 1 Summary of Data'!T$5)))</f>
        <v>82390.320000000007</v>
      </c>
      <c r="P7" s="400">
        <f>SUM(M7:O7)</f>
        <v>142971.94</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-76045.62</v>
      </c>
      <c r="J10" s="400">
        <f>'Pt 2 Premium and Claims'!K$16+'Pt 2 Premium and Claims'!M$16-'Pt 2 Premium and Claims'!N$16</f>
        <v>-48965.47</v>
      </c>
      <c r="K10" s="400">
        <f>SUM(H10:J10)</f>
        <v>-125011.09</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-30.848500000000001</v>
      </c>
      <c r="E12" s="400">
        <f>SUM(E$6:E$7)-SUM(E$8:E$11)+IF(AND(OR('Company Information'!$C$12="District of Columbia",'Company Information'!$C$12="Massachusetts",'Company Information'!$C$12="Vermont"),SUM($C$6:$F$11,$C$15:$F$16,$C$38:$D$38)&lt;&gt;0),SUM(J$6:J$7)-SUM(J$10:J$11),0)</f>
        <v>0</v>
      </c>
      <c r="F12" s="400">
        <f>IFERROR(SUM(C$12:E$12)+C$17*MAX(0,E$50-C$50)+D$17*MAX(0,E$50-D$50),0)</f>
        <v>-30.848500000000001</v>
      </c>
      <c r="G12" s="447"/>
      <c r="H12" s="399">
        <f>SUM(H$6:H$7)+IF(AND(OR('Company Information'!$C$12="District of Columbia",'Company Information'!$C$12="Massachusetts",'Company Information'!$C$12="Vermont"),SUM($H$6:$K$11,$H$15:$K$16,$H$38:$I$38)&lt;&gt;0),SUM(C$6:C$7),0)</f>
        <v>1797144.7688237089</v>
      </c>
      <c r="I12" s="400">
        <f>SUM(I$6:I$7) - SUM(I$10:I$11)+IF(AND(OR('Company Information'!$C$12="District of Columbia",'Company Information'!$C$12="Massachusetts",'Company Information'!$C$12="Vermont"),SUM($H$6:$K$11,$H$15:$K$16,$H$38:$I$38)&lt;&gt;0),SUM(D$6:D$7) - SUM(D$8:D$11),0)</f>
        <v>2830598.5531560937</v>
      </c>
      <c r="J12" s="400">
        <f>SUM(J$6:J$7)-SUM(J$10:J$11)+IF(AND(OR('Company Information'!$C$12="District of Columbia",'Company Information'!$C$12="Massachusetts",'Company Information'!$C$12="Vermont"),SUM($H$6:$K$11,$H$15:$K$16,$H$38:$I$38)&lt;&gt;0),SUM(E$6:E$7)-SUM(E$8:E$11),0)</f>
        <v>2527902.7375910245</v>
      </c>
      <c r="K12" s="400">
        <f>IFERROR(SUM(H$12:J$12)+H$17*MAX(0,J$50-H$50)+I$17*MAX(0,J$50-I$50),0)</f>
        <v>7155646.0595708266</v>
      </c>
      <c r="L12" s="447"/>
      <c r="M12" s="399">
        <f>SUM(M$6:M$7)</f>
        <v>1410599.1308895408</v>
      </c>
      <c r="N12" s="400">
        <f>SUM(N$6:N$7)</f>
        <v>1954574.4041960868</v>
      </c>
      <c r="O12" s="400">
        <f>SUM(O$6:O$7)</f>
        <v>2082125.9405699747</v>
      </c>
      <c r="P12" s="400">
        <f>SUM(M$12:O$12)+M$17*MAX(0,O$50-M$50)+N$17*MAX(0,O$50-N$50)</f>
        <v>5447299.4756556023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v>2201078.36</v>
      </c>
      <c r="I15" s="403">
        <v>2791997.3</v>
      </c>
      <c r="J15" s="395">
        <f>SUM('Pt 1 Summary of Data'!K$5:K$7)+SUM('Pt 1 Summary of Data'!M$5:M$7)-SUM('Pt 1 Summary of Data'!N$5:N$7)-SUM(J$10:J$11)</f>
        <v>2315253.21</v>
      </c>
      <c r="K15" s="395">
        <f>SUM(H15:J15)</f>
        <v>7308328.8700000001</v>
      </c>
      <c r="L15" s="396">
        <f>SUM('Pt 1 Summary of Data'!O$5:O$7)-L$10</f>
        <v>0</v>
      </c>
      <c r="M15" s="402">
        <v>1622347.23</v>
      </c>
      <c r="N15" s="403">
        <v>2219461.88</v>
      </c>
      <c r="O15" s="395">
        <f>SUM('Pt 1 Summary of Data'!Q$5:Q$7)+SUM('Pt 1 Summary of Data'!S$5:S$7)-SUM('Pt 1 Summary of Data'!T$5:T$7)+N$56</f>
        <v>2454995.4499999997</v>
      </c>
      <c r="P15" s="395">
        <f>SUM(M15:O15)</f>
        <v>6296804.5599999996</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-172259.39</v>
      </c>
      <c r="I16" s="398">
        <v>55525.86</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252615.57472144353</v>
      </c>
      <c r="K16" s="400">
        <f>SUM(H16:J16)</f>
        <v>135882.0447214435</v>
      </c>
      <c r="L16" s="401">
        <f>SUM('Pt 1 Summary of Data'!O$25:O$28,'Pt 1 Summary of Data'!O$30,'Pt 1 Summary of Data'!O$34:O$35)+IF('Company Information'!$C$15="No",IF(MAX('Pt 1 Summary of Data'!O$31:O$32)=0,MIN('Pt 1 Summary of Data'!O$31:O$32),MAX('Pt 1 Summary of Data'!O$31:O$32)),SUM('Pt 1 Summary of Data'!O$31:O$32))</f>
        <v>0</v>
      </c>
      <c r="M16" s="397">
        <v>135607.49</v>
      </c>
      <c r="N16" s="398">
        <v>-118242.31</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-229321.7078668249</v>
      </c>
      <c r="P16" s="400">
        <f>SUM(M16:O16)</f>
        <v>-211956.52786682491</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2373337.75</v>
      </c>
      <c r="I17" s="400">
        <f>I$15-I$16+IF(AND(OR('Company Information'!$C$12="District of Columbia",'Company Information'!$C$12="Massachusetts",'Company Information'!$C$12="Vermont"),SUM($H$6:$K$11,$H$15:$K$16,$H$38:$I$38)&lt;&gt;0),D$15-D$16,0)</f>
        <v>2736471.44</v>
      </c>
      <c r="J17" s="400">
        <f>J$15-J$16+IF(AND(OR('Company Information'!$C$12="District of Columbia",'Company Information'!$C$12="Massachusetts",'Company Information'!$C$12="Vermont"),SUM($H$6:$K$11,$H$15:$K$16,$H$38:$I$38)&lt;&gt;0),E$15-E$16,0)</f>
        <v>2062637.6352785565</v>
      </c>
      <c r="K17" s="400">
        <f>K$15-K$16+IF(AND(OR('Company Information'!$C$12="District of Columbia",'Company Information'!$C$12="Massachusetts",'Company Information'!$C$12="Vermont"),SUM($H$6:$K$11,$H$15:$K$16,$H$38:$I$38)&lt;&gt;0),F$15-F$16,0)</f>
        <v>7172446.8252785569</v>
      </c>
      <c r="L17" s="450"/>
      <c r="M17" s="399">
        <f>M$15-M$16</f>
        <v>1486739.74</v>
      </c>
      <c r="N17" s="400">
        <f>N$15-N$16</f>
        <v>2337704.19</v>
      </c>
      <c r="O17" s="400">
        <f>O$15-O$16</f>
        <v>2684317.1578668244</v>
      </c>
      <c r="P17" s="400">
        <f>P$15-P$16</f>
        <v>6508761.0878668241</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666</v>
      </c>
      <c r="I38" s="405">
        <v>764.92</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534.5</v>
      </c>
      <c r="K38" s="432">
        <f>SUM(H$38:J$38)+IF(AND(OR('Company Information'!$C$12="District of Columbia",'Company Information'!$C$12="Massachusetts",'Company Information'!$C$12="Vermont"),SUM($H$6:$K$11,$H$15:$K$16,$H$38:$I$38)&lt;&gt;0,SUM(H$38:I$38)&lt;&gt;SUM(C$38:D$38)),SUM(C$38:D$38),0)</f>
        <v>1965.42</v>
      </c>
      <c r="L38" s="448"/>
      <c r="M38" s="404">
        <v>528</v>
      </c>
      <c r="N38" s="405">
        <v>674.08</v>
      </c>
      <c r="O38" s="432">
        <f>('Pt 1 Summary of Data'!Q$59+'Pt 1 Summary of Data'!S$59-'Pt 1 Summary of Data'!T$59)/12</f>
        <v>735.66666666666663</v>
      </c>
      <c r="P38" s="432">
        <f>SUM(M$38:O$38)</f>
        <v>1937.7466666666664</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6.3047986666666667E-2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6.3619902222222219E-2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1560</v>
      </c>
      <c r="L40" s="447"/>
      <c r="M40" s="443"/>
      <c r="N40" s="441"/>
      <c r="O40" s="441"/>
      <c r="P40" s="398">
        <v>2176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 ca="1">IF(OR(K$38&lt;1000,K$38&gt;=75000),0,K$39*K$41)</f>
        <v>6.3047986666666667E-2</v>
      </c>
      <c r="L42" s="447"/>
      <c r="M42" s="443"/>
      <c r="N42" s="441"/>
      <c r="O42" s="441"/>
      <c r="P42" s="436">
        <f ca="1">IF(OR(P$38&lt;1000,P$38&gt;=75000),0,P$39*P$41)</f>
        <v>6.3619902222222219E-2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f>IF(OR(K$38&lt;1000,K$17&lt;=0),"",K$12/K$17)</f>
        <v>0.99765759633818163</v>
      </c>
      <c r="L45" s="447"/>
      <c r="M45" s="438" t="str">
        <f>IF(OR(M$38&lt;1000,M$17&lt;=0),"",M$12/M$17)</f>
        <v/>
      </c>
      <c r="N45" s="436" t="str">
        <f>IF(OR(N$38&lt;1000,N$17&lt;=0),"",N$12/N$17)</f>
        <v/>
      </c>
      <c r="O45" s="436" t="str">
        <f>IF(OR(O$38&lt;1000,O$17&lt;=0),"",O$12/O$17)</f>
        <v/>
      </c>
      <c r="P45" s="436">
        <f>IF(OR(P$38&lt;1000,P$17&lt;=0),"",P$12/P$17)</f>
        <v>0.83691802512310309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f ca="1">IF(K$45="","",K$42)</f>
        <v>6.3047986666666667E-2</v>
      </c>
      <c r="L47" s="447"/>
      <c r="M47" s="443"/>
      <c r="N47" s="441"/>
      <c r="O47" s="441"/>
      <c r="P47" s="436">
        <f ca="1">IF(P$45="","",P$42)</f>
        <v>6.3619902222222219E-2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f ca="1">IF(K$45="","",ROUND(K$45+MAX(0,K$47),3))</f>
        <v>1.0609999999999999</v>
      </c>
      <c r="L48" s="447"/>
      <c r="M48" s="443"/>
      <c r="N48" s="441"/>
      <c r="O48" s="441"/>
      <c r="P48" s="436">
        <f ca="1">IF(P$45="","",ROUND(P$45+MAX(0,P$47),3))</f>
        <v>0.90100000000000002</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f ca="1">K$48</f>
        <v>1.0609999999999999</v>
      </c>
      <c r="L51" s="447"/>
      <c r="M51" s="444"/>
      <c r="N51" s="442"/>
      <c r="O51" s="442"/>
      <c r="P51" s="436">
        <f ca="1">P$48</f>
        <v>0.90100000000000002</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f>IF(K$38&lt;1000,"",MAX(0,J$15-J$16))</f>
        <v>2062637.6352785565</v>
      </c>
      <c r="L52" s="447"/>
      <c r="M52" s="443"/>
      <c r="N52" s="441"/>
      <c r="O52" s="441"/>
      <c r="P52" s="400">
        <f>IF(P$38&lt;1000,"",MAX(0,O$15-O$16))</f>
        <v>2684317.1578668244</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 ca="1">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198</v>
      </c>
      <c r="E4" s="104">
        <f>'Pt 1 Summary of Data'!$Q$56+'Pt 1 Summary of Data'!$S$56-'Pt 1 Summary of Data'!$T$56</f>
        <v>442</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 ca="1">'Pt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49091.79</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