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Q13" i="10" s="1"/>
  <c r="S15" i="10"/>
  <c r="P15" i="10"/>
  <c r="O15" i="10"/>
  <c r="L15" i="10"/>
  <c r="AA13" i="10"/>
  <c r="Z13" i="10"/>
  <c r="Y13" i="10"/>
  <c r="W13" i="10"/>
  <c r="R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Y55" i="18"/>
  <c r="Y22" i="4" s="1"/>
  <c r="X55" i="18"/>
  <c r="X22" i="4" s="1"/>
  <c r="W55" i="18"/>
  <c r="W22" i="4" s="1"/>
  <c r="V55" i="18"/>
  <c r="V22" i="4" s="1"/>
  <c r="U55" i="18"/>
  <c r="U22" i="4" s="1"/>
  <c r="T55" i="18"/>
  <c r="S55" i="18"/>
  <c r="S22" i="4" s="1"/>
  <c r="R55" i="18"/>
  <c r="R22" i="4" s="1"/>
  <c r="Q55" i="18"/>
  <c r="Q22" i="4" s="1"/>
  <c r="P55" i="18"/>
  <c r="P22" i="4" s="1"/>
  <c r="O55" i="18"/>
  <c r="O22" i="4" s="1"/>
  <c r="N55" i="18"/>
  <c r="N22" i="4" s="1"/>
  <c r="M55" i="18"/>
  <c r="M22" i="4" s="1"/>
  <c r="L55" i="18"/>
  <c r="L22" i="4" s="1"/>
  <c r="K55" i="18"/>
  <c r="K22" i="4" s="1"/>
  <c r="J55" i="18"/>
  <c r="J22" i="4" s="1"/>
  <c r="I55" i="18"/>
  <c r="I22" i="4" s="1"/>
  <c r="H55" i="18"/>
  <c r="G55" i="18"/>
  <c r="F55" i="18"/>
  <c r="E55" i="18"/>
  <c r="D55" i="18"/>
  <c r="AU54" i="18"/>
  <c r="AT54" i="18"/>
  <c r="AS54" i="18"/>
  <c r="AC54" i="18"/>
  <c r="AB54" i="18"/>
  <c r="AA54" i="18"/>
  <c r="Z54" i="18"/>
  <c r="Y54" i="18"/>
  <c r="X54" i="18"/>
  <c r="W54" i="18"/>
  <c r="V54" i="18"/>
  <c r="U54" i="18"/>
  <c r="T54" i="18"/>
  <c r="S54" i="18"/>
  <c r="R54" i="18"/>
  <c r="Q54" i="18"/>
  <c r="P54" i="18"/>
  <c r="O54" i="18"/>
  <c r="O12" i="4" s="1"/>
  <c r="N54" i="18"/>
  <c r="N12" i="4" s="1"/>
  <c r="M54" i="18"/>
  <c r="M12" i="4" s="1"/>
  <c r="L54" i="18"/>
  <c r="L12" i="4" s="1"/>
  <c r="K54" i="18"/>
  <c r="K12" i="4" s="1"/>
  <c r="J54" i="18"/>
  <c r="J12" i="4" s="1"/>
  <c r="I54" i="18"/>
  <c r="H54" i="18"/>
  <c r="H12" i="4" s="1"/>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Z22" i="4"/>
  <c r="T22" i="4"/>
  <c r="H22" i="4"/>
  <c r="G22" i="4"/>
  <c r="F22" i="4"/>
  <c r="E22" i="4"/>
  <c r="D22" i="4"/>
  <c r="AU12" i="4"/>
  <c r="AT12" i="4"/>
  <c r="AS12" i="4"/>
  <c r="AC12" i="4"/>
  <c r="AB12" i="4"/>
  <c r="AA12" i="4"/>
  <c r="Z12" i="4"/>
  <c r="Y12" i="4"/>
  <c r="X12" i="4"/>
  <c r="W12" i="4"/>
  <c r="V12" i="4"/>
  <c r="U12" i="4"/>
  <c r="T12" i="4"/>
  <c r="S12" i="4"/>
  <c r="R12" i="4"/>
  <c r="Q12" i="4"/>
  <c r="P12" i="4"/>
  <c r="I12" i="4"/>
  <c r="E12" i="4"/>
  <c r="D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D5" i="4"/>
  <c r="E15" i="10" l="1"/>
  <c r="F15" i="10" s="1"/>
  <c r="K15" i="10"/>
  <c r="G15" i="10"/>
  <c r="G32" i="10" s="1"/>
  <c r="E7" i="10"/>
  <c r="L30" i="10"/>
  <c r="L31" i="10" s="1"/>
  <c r="J7" i="10"/>
  <c r="G24" i="10"/>
  <c r="G27" i="10"/>
  <c r="P42" i="10"/>
  <c r="P47" i="10" s="1"/>
  <c r="P48" i="10" s="1"/>
  <c r="P51" i="10" s="1"/>
  <c r="P53" i="10" s="1"/>
  <c r="E11" i="16" s="1"/>
  <c r="L29" i="10"/>
  <c r="L33" i="10" s="1"/>
  <c r="L34" i="10" s="1"/>
  <c r="L21" i="10"/>
  <c r="L26" i="10" s="1"/>
  <c r="L25" i="10" s="1"/>
  <c r="L28" i="10" s="1"/>
  <c r="AB13" i="10"/>
  <c r="X13" i="10"/>
  <c r="U13" i="10"/>
  <c r="T13" i="10"/>
  <c r="S13" i="10"/>
  <c r="G23" i="10" l="1"/>
  <c r="G19" i="10"/>
  <c r="G22" i="10" s="1"/>
  <c r="G30" i="10" s="1"/>
  <c r="G31" i="10" s="1"/>
  <c r="G29" i="10" s="1"/>
  <c r="G33" i="10" s="1"/>
  <c r="G34" i="10" s="1"/>
  <c r="G20" i="10"/>
  <c r="F7" i="10"/>
  <c r="D17" i="10" s="1"/>
  <c r="D45" i="10" s="1"/>
  <c r="C17" i="10"/>
  <c r="C45" i="10" s="1"/>
  <c r="G21" i="10"/>
  <c r="G26" i="10" s="1"/>
  <c r="G25" i="10" s="1"/>
  <c r="G28" i="10" s="1"/>
  <c r="K7" i="10"/>
  <c r="E17" i="10"/>
  <c r="F17" i="10" l="1"/>
  <c r="E38" i="10"/>
  <c r="J12" i="10"/>
  <c r="I12" i="10"/>
  <c r="H12" i="10"/>
  <c r="J17" i="10"/>
  <c r="I17" i="10"/>
  <c r="F38" i="10"/>
  <c r="E45" i="10"/>
  <c r="H17" i="10"/>
  <c r="J38" i="10"/>
  <c r="K17" i="10"/>
  <c r="D12" i="10"/>
  <c r="E12" i="10"/>
  <c r="C12" i="10"/>
  <c r="I45" i="10" l="1"/>
  <c r="F39" i="10"/>
  <c r="K12" i="10"/>
  <c r="H45" i="10"/>
  <c r="F53" i="10"/>
  <c r="C11" i="16" s="1"/>
  <c r="F52" i="10"/>
  <c r="F42" i="10"/>
  <c r="F45" i="10"/>
  <c r="F12" i="10"/>
  <c r="K38" i="10"/>
  <c r="J45" i="10"/>
  <c r="K52" i="10" l="1"/>
  <c r="K39" i="10"/>
  <c r="K42" i="10" s="1"/>
  <c r="F48" i="10"/>
  <c r="F51" i="10" s="1"/>
  <c r="F47" i="10"/>
  <c r="K45" i="10"/>
  <c r="K47" i="10" l="1"/>
  <c r="K48" i="10" s="1"/>
  <c r="K51" i="10" s="1"/>
  <c r="K53" i="10" s="1"/>
  <c r="D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<sst xmlns="http://schemas.openxmlformats.org/spreadsheetml/2006/main" count="570" uniqueCount="508">
  <si>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</si>
  <si>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</si>
  <si>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</si>
  <si>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</si>
  <si>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</si>
  <si>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</si>
  <si>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</si>
  <si>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</si>
  <si>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</si>
  <si>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</si>
  <si>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</si>
  <si>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</si>
  <si>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</si>
  <si>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</si>
  <si>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</si>
  <si>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</si>
  <si>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</si>
  <si>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</si>
  <si>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</si>
  <si>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</si>
  <si>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</si>
  <si>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</si>
  <si>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</si>
  <si>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</si>
  <si>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</si>
  <si>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</si>
  <si>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</si>
  <si>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</si>
  <si>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</si>
  <si>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</si>
  <si>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</si>
  <si>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</si>
  <si>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</si>
  <si>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</si>
  <si>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</si>
  <si>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</si>
  <si>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</si>
  <si>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</si>
  <si>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</si>
  <si>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</si>
  <si>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</si>
  <si>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</si>
  <si>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</si>
  <si>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</si>
  <si>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</si>
  <si>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</si>
  <si>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</si>
  <si>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</si>
  <si>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</si>
  <si>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</si>
  <si>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</si>
  <si>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</si>
  <si>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</si>
  <si>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</si>
  <si>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</si>
  <si>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</si>
  <si>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</si>
  <si>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</si>
  <si>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</si>
  <si>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</si>
  <si>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</si>
  <si>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</si>
  <si>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</si>
  <si>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</si>
  <si>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</si>
  <si>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</si>
  <si>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</si>
  <si>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</si>
  <si>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</si>
  <si>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</si>
  <si>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</si>
  <si>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</si>
  <si>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</si>
  <si>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</si>
  <si>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</si>
  <si>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</si>
  <si>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</si>
  <si>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</si>
  <si>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</si>
  <si>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</si>
  <si>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</si>
  <si>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</si>
  <si>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</si>
  <si>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</si>
  <si>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</si>
  <si>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</si>
  <si>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</si>
  <si>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</si>
  <si>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</si>
  <si>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</si>
  <si>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</si>
  <si>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</si>
  <si>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</si>
  <si>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</si>
  <si>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</si>
  <si>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</si>
  <si>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</si>
  <si>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</si>
  <si>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</si>
  <si>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</si>
  <si>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</si>
  <si>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</si>
  <si>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</si>
  <si>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</si>
  <si>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</si>
  <si>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</si>
  <si>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</si>
  <si>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</si>
  <si>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</si>
  <si>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</si>
  <si>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</si>
  <si>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</si>
  <si>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</si>
  <si>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</si>
  <si>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</si>
  <si>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</si>
  <si>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</si>
  <si>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</si>
  <si>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</si>
  <si>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</si>
  <si>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</si>
  <si>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</si>
  <si>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</si>
  <si>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</si>
  <si>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</si>
  <si>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</si>
  <si>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</si>
  <si>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</si>
  <si>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</si>
  <si>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</si>
  <si>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</si>
  <si>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</si>
  <si>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</si>
  <si>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</si>
  <si>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</si>
  <si>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</si>
  <si>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</si>
  <si>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</si>
  <si>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</si>
  <si>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</si>
  <si>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</si>
  <si>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</si>
  <si>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</si>
  <si>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</si>
  <si>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</si>
  <si>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</si>
  <si>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</si>
  <si>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</si>
  <si>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</si>
  <si>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</si>
  <si>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</si>
  <si>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</si>
  <si>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</si>
  <si>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</si>
  <si>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</si>
  <si>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</si>
  <si>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</si>
  <si>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</si>
  <si>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</si>
  <si>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</si>
  <si>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</si>
  <si>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</si>
  <si>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</si>
  <si>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</si>
  <si>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</si>
  <si>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</si>
  <si>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</si>
  <si>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</si>
  <si>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</si>
  <si>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</si>
  <si>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</si>
  <si>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</si>
  <si>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</si>
  <si>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</si>
  <si>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</si>
  <si>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</si>
  <si>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</si>
  <si>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</si>
  <si>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</si>
  <si>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</si>
  <si>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</si>
  <si>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</si>
  <si>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</si>
  <si>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</si>
  <si>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</si>
  <si>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</si>
  <si>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</si>
  <si>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</si>
  <si>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</si>
  <si>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</si>
  <si>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</si>
  <si>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</si>
  <si>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</si>
  <si>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</si>
  <si>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</si>
  <si>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</si>
  <si>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</si>
  <si>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</si>
  <si>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</si>
  <si>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</si>
  <si>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</si>
  <si>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</si>
  <si>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</si>
  <si>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</si>
  <si>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</si>
  <si>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</si>
  <si>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</si>
  <si>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</si>
  <si>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</si>
  <si>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</si>
  <si>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</si>
  <si>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</si>
  <si>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</si>
  <si>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</si>
  <si>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</si>
  <si>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</si>
  <si>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</si>
  <si>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</si>
  <si>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</si>
  <si>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</si>
  <si>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</si>
  <si>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</si>
  <si>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</si>
  <si>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</si>
  <si>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</si>
  <si>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</si>
  <si>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</si>
  <si>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</si>
  <si>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</si>
  <si>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</si>
  <si>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</si>
  <si>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</si>
  <si>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</si>
  <si>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</si>
  <si>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</si>
  <si>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</si>
  <si>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</si>
  <si>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</si>
  <si>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</si>
  <si>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</si>
  <si>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</si>
  <si>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</si>
  <si>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</si>
  <si>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</si>
  <si>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</si>
  <si>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</si>
  <si>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</si>
  <si>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</si>
  <si>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</si>
  <si>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</si>
  <si>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</si>
  <si>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</si>
  <si>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</si>
  <si>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</si>
  <si>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</si>
  <si>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</si>
  <si>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</si>
  <si>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</si>
  <si>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</si>
  <si>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</si>
  <si>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</si>
  <si>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</si>
  <si>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</si>
  <si>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</si>
  <si>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</si>
  <si>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</si>
  <si>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</si>
  <si>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</si>
  <si>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</si>
  <si>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</si>
  <si>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</si>
  <si>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</si>
  <si>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</si>
  <si>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</si>
  <si>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</si>
  <si>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</si>
  <si>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</si>
  <si>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</si>
  <si>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</si>
  <si>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</si>
  <si>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</si>
  <si>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</si>
  <si>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</si>
  <si>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</si>
  <si>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</si>
  <si>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</si>
  <si>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</si>
  <si>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</si>
  <si>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</si>
  <si>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</si>
  <si>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</si>
  <si>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</si>
  <si>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</si>
  <si>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</si>
  <si>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</si>
  <si>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</si>
  <si>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</si>
  <si>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</si>
  <si>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</si>
  <si>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</si>
  <si>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</si>
  <si>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</si>
  <si>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</si>
  <si>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</si>
  <si>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</si>
  <si>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</si>
  <si>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</si>
  <si>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</si>
  <si>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</si>
  <si>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</si>
  <si>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</si>
  <si>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</si>
  <si>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</si>
  <si>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</si>
  <si>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</si>
  <si>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</si>
  <si>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</si>
  <si>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</si>
  <si>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</si>
  <si>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</si>
  <si>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</si>
  <si>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</si>
  <si>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</si>
  <si>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</si>
  <si>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</si>
  <si>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</si>
  <si>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</si>
  <si>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</si>
  <si>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</si>
  <si>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</si>
  <si>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</si>
  <si>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</si>
  <si>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</si>
  <si>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</si>
  <si>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</si>
  <si>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</si>
  <si>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</si>
  <si>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</si>
  <si>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</si>
  <si>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</si>
  <si>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</si>
  <si>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</si>
  <si>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</si>
  <si>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</si>
  <si>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</si>
  <si>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</si>
  <si>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</si>
  <si>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</si>
  <si>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</si>
  <si>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</si>
  <si>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</si>
  <si>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</si>
  <si>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</si>
  <si>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</si>
  <si>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</si>
  <si>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</si>
  <si>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</si>
  <si>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</si>
  <si>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</si>
  <si>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</si>
  <si>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</si>
  <si>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</si>
  <si>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</si>
  <si>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</si>
  <si>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</si>
  <si>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</si>
  <si>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</si>
  <si>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</si>
  <si>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</si>
  <si>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</si>
  <si>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</si>
  <si>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</si>
  <si>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</si>
  <si>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</si>
  <si>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</si>
  <si>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</si>
  <si>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</si>
  <si>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</si>
  <si>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</si>
  <si>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</si>
  <si>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</si>
  <si>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</si>
  <si>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</si>
  <si>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</si>
  <si>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</si>
  <si>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</si>
  <si>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</si>
  <si>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</si>
  <si>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</si>
  <si>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</si>
  <si>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</si>
  <si>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</si>
  <si>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</si>
  <si>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</si>
  <si>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</si>
  <si>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</si>
  <si>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</si>
  <si>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</si>
  <si>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</si>
  <si>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</si>
  <si>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</si>
  <si>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</si>
  <si>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</si>
  <si>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</si>
  <si>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</si>
  <si>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</si>
  <si>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</si>
  <si>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</si>
  <si>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</si>
  <si>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</si>
  <si>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</si>
  <si>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</si>
  <si>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</si>
  <si>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</si>
  <si>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</si>
  <si>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</si>
  <si>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</si>
  <si>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</si>
  <si>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</si>
  <si>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</si>
  <si>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</si>
  <si>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</si>
  <si>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</si>
  <si>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</si>
  <si>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</si>
  <si>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</si>
  <si>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</si>
  <si>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</si>
  <si>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</si>
  <si>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</si>
  <si>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</si>
  <si>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</si>
  <si>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</si>
  <si>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</si>
  <si>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</si>
  <si>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</si>
  <si>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</si>
  <si>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</si>
  <si>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</si>
  <si>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</si>
  <si>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</si>
  <si>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</si>
  <si>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</si>
  <si>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</si>
  <si>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</si>
  <si>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</si>
  <si>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</si>
  <si>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</si>
  <si>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</si>
  <si>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</si>
  <si>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</si>
  <si>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</si>
  <si>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</si>
  <si>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</si>
  <si>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</si>
  <si>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</si>
  <si>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</si>
  <si>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</si>
  <si>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</si>
  <si>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</si>
  <si>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</si>
  <si>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</si>
  <si>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</si>
  <si>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</si>
  <si>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</si>
  <si>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</si>
  <si>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</si>
  <si>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</si>
  <si>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</si>
  <si>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</si>
  <si>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</si>
  <si>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</si>
  <si>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</si>
  <si>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</si>
  <si>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</si>
  <si>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</si>
  <si>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</si>
  <si>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</si>
  <si>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</si>
  <si>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</si>
  <si>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</si>
  <si>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</si>
  <si>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</si>
  <si>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</si>
  <si>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</si>
  <si>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</si>
  <si>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</si>
  <si>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</si>
  <si>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</si>
  <si>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</si>
  <si>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</si>
  <si>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</si>
  <si>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</si>
  <si>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</si>
  <si>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</si>
  <si>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</si>
  <si>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</si>
  <si>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</si>
  <si>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</si>
  <si>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</si>
  <si>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</si>
  <si>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</si>
  <si>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</si>
  <si>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</si>
  <si>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</si>
  <si>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93222</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</si>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</sst>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185</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29795333</v>
      </c>
      <c r="K5" s="213">
        <f>SUM('Pt 2 Premium and Claims'!K$5,'Pt 2 Premium and Claims'!K$6,-'Pt 2 Premium and Claims'!K$7,-'Pt 2 Premium and Claims'!K$13,'Pt 2 Premium and Claims'!K$14,'Pt 2 Premium and Claims'!K$16:'Pt 2 Premium and Claims'!K$17)</f>
        <v>33831566.693254396</v>
      </c>
      <c r="L5" s="213">
        <f>SUM('Pt 2 Premium and Claims'!L$5,'Pt 2 Premium and Claims'!L$6,-'Pt 2 Premium and Claims'!L$7,-'Pt 2 Premium and Claims'!L$13,'Pt 2 Premium and Claims'!L$14,'Pt 2 Premium and Claims'!L$16:'Pt 2 Premium and Claims'!L$17)</f>
        <v>4248325.07</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11481440</v>
      </c>
      <c r="Q5" s="213">
        <f>SUM('Pt 2 Premium and Claims'!Q$5,'Pt 2 Premium and Claims'!Q$6,-'Pt 2 Premium and Claims'!Q$7,-'Pt 2 Premium and Claims'!Q$13,'Pt 2 Premium and Claims'!Q$14)</f>
        <v>13236277.133594001</v>
      </c>
      <c r="R5" s="213">
        <f>SUM('Pt 2 Premium and Claims'!R$5,'Pt 2 Premium and Claims'!R$6,-'Pt 2 Premium and Claims'!R$7,-'Pt 2 Premium and Claims'!R$13,'Pt 2 Premium and Claims'!R$14)</f>
        <v>1364021.21</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-97.54</v>
      </c>
      <c r="L7" s="217">
        <v>-97.54</v>
      </c>
      <c r="M7" s="217"/>
      <c r="N7" s="217"/>
      <c r="O7" s="216"/>
      <c r="P7" s="216">
        <v>0</v>
      </c>
      <c r="Q7" s="217">
        <v>-53.88</v>
      </c>
      <c r="R7" s="217">
        <v>-53.88</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-50724</v>
      </c>
      <c r="K8" s="268"/>
      <c r="L8" s="269"/>
      <c r="M8" s="269"/>
      <c r="N8" s="269"/>
      <c r="O8" s="272"/>
      <c r="P8" s="216">
        <v>-15372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23959532</v>
      </c>
      <c r="K12" s="213">
        <f>'Pt 2 Premium and Claims'!K$54</f>
        <v>25927732.941389255</v>
      </c>
      <c r="L12" s="213">
        <f>'Pt 2 Premium and Claims'!L$54</f>
        <v>3327809.6482450748</v>
      </c>
      <c r="M12" s="213">
        <f>'Pt 2 Premium and Claims'!M$54</f>
        <v>0</v>
      </c>
      <c r="N12" s="213">
        <f>'Pt 2 Premium and Claims'!N$54</f>
        <v>0</v>
      </c>
      <c r="O12" s="212">
        <f>'Pt 2 Premium and Claims'!O$54</f>
        <v>0</v>
      </c>
      <c r="P12" s="212">
        <f>'Pt 2 Premium and Claims'!P$54</f>
        <v>9768104</v>
      </c>
      <c r="Q12" s="213">
        <f>'Pt 2 Premium and Claims'!Q$54</f>
        <v>9886874.1811387483</v>
      </c>
      <c r="R12" s="213">
        <f>'Pt 2 Premium and Claims'!R$54</f>
        <v>1037626.4352643652</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c r="J13" s="216">
        <v>7382252</v>
      </c>
      <c r="K13" s="217">
        <v>7319780.0301710982</v>
      </c>
      <c r="L13" s="217"/>
      <c r="M13" s="268"/>
      <c r="N13" s="269"/>
      <c r="O13" s="216"/>
      <c r="P13" s="216">
        <v>2111924</v>
      </c>
      <c r="Q13" s="217">
        <v>2189044.970904768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1040499</v>
      </c>
      <c r="K14" s="217">
        <v>1030978.5906669707</v>
      </c>
      <c r="L14" s="217"/>
      <c r="M14" s="267"/>
      <c r="N14" s="270"/>
      <c r="O14" s="216"/>
      <c r="P14" s="216">
        <v>337986</v>
      </c>
      <c r="Q14" s="217">
        <v>339920.23025067674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261</v>
      </c>
      <c r="K15" s="217">
        <v>260.57049298574094</v>
      </c>
      <c r="L15" s="217">
        <v>3.5677056491605672</v>
      </c>
      <c r="M15" s="267"/>
      <c r="N15" s="273"/>
      <c r="O15" s="216"/>
      <c r="P15" s="216">
        <v>112</v>
      </c>
      <c r="Q15" s="217">
        <v>117.13950701425904</v>
      </c>
      <c r="R15" s="217">
        <v>1.1822943508394328</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1434</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1821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387</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44962.79</v>
      </c>
      <c r="K22" s="222">
        <f>'Pt 2 Premium and Claims'!K$55</f>
        <v>50350.187737672939</v>
      </c>
      <c r="L22" s="222">
        <f>'Pt 2 Premium and Claims'!L$55</f>
        <v>6110.8818467373039</v>
      </c>
      <c r="M22" s="222">
        <f>'Pt 2 Premium and Claims'!M$55</f>
        <v>0</v>
      </c>
      <c r="N22" s="222">
        <f>'Pt 2 Premium and Claims'!N$55</f>
        <v>0</v>
      </c>
      <c r="O22" s="221">
        <f>'Pt 2 Premium and Claims'!O$55</f>
        <v>0</v>
      </c>
      <c r="P22" s="221">
        <f>'Pt 2 Premium and Claims'!P$55</f>
        <v>16420.349999999999</v>
      </c>
      <c r="Q22" s="222">
        <f>'Pt 2 Premium and Claims'!Q$55</f>
        <v>19140.102262327062</v>
      </c>
      <c r="R22" s="222">
        <f>'Pt 2 Premium and Claims'!R$55</f>
        <v>1996.2681532626964</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-614868.80000000005</v>
      </c>
      <c r="K25" s="217">
        <v>-235701.11553047111</v>
      </c>
      <c r="L25" s="217">
        <v>389312.21348185476</v>
      </c>
      <c r="M25" s="217"/>
      <c r="N25" s="217"/>
      <c r="O25" s="216"/>
      <c r="P25" s="216">
        <v>-192429.52</v>
      </c>
      <c r="Q25" s="217">
        <v>-118457.13272513471</v>
      </c>
      <c r="R25" s="217">
        <v>63827.418916232411</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15797.78</v>
      </c>
      <c r="K26" s="217">
        <v>18128.508469967092</v>
      </c>
      <c r="L26" s="217">
        <v>2665.6657188621234</v>
      </c>
      <c r="M26" s="217"/>
      <c r="N26" s="217"/>
      <c r="O26" s="216"/>
      <c r="P26" s="216">
        <v>7279.59</v>
      </c>
      <c r="Q26" s="217">
        <v>8823.8715300329095</v>
      </c>
      <c r="R26" s="217">
        <v>1209.3442811378768</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490172.66</v>
      </c>
      <c r="K27" s="217">
        <v>552875.83034873439</v>
      </c>
      <c r="L27" s="217">
        <v>71015.330776499773</v>
      </c>
      <c r="M27" s="217"/>
      <c r="N27" s="217"/>
      <c r="O27" s="216"/>
      <c r="P27" s="216">
        <v>208733.42</v>
      </c>
      <c r="Q27" s="217">
        <v>238494.76965126558</v>
      </c>
      <c r="R27" s="217">
        <v>21449.189223500227</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56128.1</v>
      </c>
      <c r="K28" s="217">
        <v>62926.183847675937</v>
      </c>
      <c r="L28" s="217">
        <v>7738.1525958882112</v>
      </c>
      <c r="M28" s="217"/>
      <c r="N28" s="217"/>
      <c r="O28" s="216"/>
      <c r="P28" s="216">
        <v>21426.99</v>
      </c>
      <c r="Q28" s="217">
        <v>25422.786152324064</v>
      </c>
      <c r="R28" s="217">
        <v>3055.7274041117885</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-30407.16</v>
      </c>
      <c r="K30" s="217">
        <v>-326.47699233338898</v>
      </c>
      <c r="L30" s="217">
        <v>31373.547066754181</v>
      </c>
      <c r="M30" s="217"/>
      <c r="N30" s="217"/>
      <c r="O30" s="216"/>
      <c r="P30" s="216">
        <v>-8554.26</v>
      </c>
      <c r="Q30" s="217">
        <v>-1905.3073255650866</v>
      </c>
      <c r="R30" s="217">
        <v>5356.0496353957824</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v>1976869.77</v>
      </c>
      <c r="K31" s="217">
        <v>2029054.0896326711</v>
      </c>
      <c r="L31" s="217">
        <v>84043.828960403684</v>
      </c>
      <c r="M31" s="217"/>
      <c r="N31" s="217"/>
      <c r="O31" s="216"/>
      <c r="P31" s="216">
        <v>652838.84</v>
      </c>
      <c r="Q31" s="217">
        <v>712302.56036732893</v>
      </c>
      <c r="R31" s="217">
        <v>27604.211039596317</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382117.68</v>
      </c>
      <c r="K34" s="217">
        <v>376414.59108599304</v>
      </c>
      <c r="L34" s="217"/>
      <c r="M34" s="217"/>
      <c r="N34" s="217"/>
      <c r="O34" s="216"/>
      <c r="P34" s="216">
        <v>119561.52</v>
      </c>
      <c r="Q34" s="217">
        <v>125264.60891400694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20597.96</v>
      </c>
      <c r="K35" s="217">
        <v>23114.431902658562</v>
      </c>
      <c r="L35" s="217">
        <v>2808.6585555073157</v>
      </c>
      <c r="M35" s="217"/>
      <c r="N35" s="217"/>
      <c r="O35" s="216"/>
      <c r="P35" s="216">
        <v>6575.17</v>
      </c>
      <c r="Q35" s="217">
        <v>7798.1380973414371</v>
      </c>
      <c r="R35" s="217">
        <v>930.7814444926845</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76699</v>
      </c>
      <c r="K37" s="225">
        <v>79795.14033261023</v>
      </c>
      <c r="L37" s="225">
        <v>4316.5229403676622</v>
      </c>
      <c r="M37" s="225"/>
      <c r="N37" s="225"/>
      <c r="O37" s="224"/>
      <c r="P37" s="224">
        <v>29895</v>
      </c>
      <c r="Q37" s="225">
        <v>48049.259667389764</v>
      </c>
      <c r="R37" s="225">
        <v>16934.017059632337</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219867</v>
      </c>
      <c r="AW37" s="296"/>
    </row>
    <row r="38" spans="1:49" x14ac:dyDescent="0.2">
      <c r="B38" s="239" t="s">
        <v>254</v>
      </c>
      <c r="C38" s="203" t="s">
        <v>16</v>
      </c>
      <c r="D38" s="216">
        <v>0</v>
      </c>
      <c r="E38" s="217"/>
      <c r="F38" s="217"/>
      <c r="G38" s="217"/>
      <c r="H38" s="217"/>
      <c r="I38" s="216"/>
      <c r="J38" s="216">
        <v>6090</v>
      </c>
      <c r="K38" s="217">
        <v>6465.4359198359825</v>
      </c>
      <c r="L38" s="217">
        <v>480.07155413414904</v>
      </c>
      <c r="M38" s="217"/>
      <c r="N38" s="217"/>
      <c r="O38" s="216"/>
      <c r="P38" s="216">
        <v>2807</v>
      </c>
      <c r="Q38" s="217">
        <v>22189.174080164015</v>
      </c>
      <c r="R38" s="217">
        <v>19277.348445865849</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43250</v>
      </c>
      <c r="AW38" s="297"/>
    </row>
    <row r="39" spans="1:49" x14ac:dyDescent="0.2">
      <c r="B39" s="242" t="s">
        <v>255</v>
      </c>
      <c r="C39" s="203" t="s">
        <v>17</v>
      </c>
      <c r="D39" s="216">
        <v>0</v>
      </c>
      <c r="E39" s="217"/>
      <c r="F39" s="217"/>
      <c r="G39" s="217"/>
      <c r="H39" s="217"/>
      <c r="I39" s="216"/>
      <c r="J39" s="216">
        <v>48481</v>
      </c>
      <c r="K39" s="217">
        <v>48657.521440095406</v>
      </c>
      <c r="L39" s="217">
        <v>938.80030479156403</v>
      </c>
      <c r="M39" s="217"/>
      <c r="N39" s="217"/>
      <c r="O39" s="216"/>
      <c r="P39" s="216">
        <v>16637</v>
      </c>
      <c r="Q39" s="217">
        <v>20917.638559904597</v>
      </c>
      <c r="R39" s="217">
        <v>3518.5196952084361</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85850</v>
      </c>
      <c r="AW39" s="297"/>
    </row>
    <row r="40" spans="1:49" x14ac:dyDescent="0.2">
      <c r="B40" s="242" t="s">
        <v>256</v>
      </c>
      <c r="C40" s="203" t="s">
        <v>38</v>
      </c>
      <c r="D40" s="216">
        <v>0</v>
      </c>
      <c r="E40" s="217"/>
      <c r="F40" s="217"/>
      <c r="G40" s="217"/>
      <c r="H40" s="217"/>
      <c r="I40" s="216"/>
      <c r="J40" s="216">
        <v>331305</v>
      </c>
      <c r="K40" s="217">
        <v>330328.53434208833</v>
      </c>
      <c r="L40" s="217">
        <v>4417.222280824004</v>
      </c>
      <c r="M40" s="217"/>
      <c r="N40" s="217"/>
      <c r="O40" s="216"/>
      <c r="P40" s="216">
        <v>111686</v>
      </c>
      <c r="Q40" s="217">
        <v>131438.48565791166</v>
      </c>
      <c r="R40" s="217">
        <v>14358.537719175996</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637468</v>
      </c>
      <c r="AW40" s="297"/>
    </row>
    <row r="41" spans="1:49" s="5" customFormat="1" ht="25.5" x14ac:dyDescent="0.2">
      <c r="A41" s="35"/>
      <c r="B41" s="242" t="s">
        <v>257</v>
      </c>
      <c r="C41" s="203" t="s">
        <v>129</v>
      </c>
      <c r="D41" s="216">
        <v>0</v>
      </c>
      <c r="E41" s="217"/>
      <c r="F41" s="217"/>
      <c r="G41" s="217"/>
      <c r="H41" s="217"/>
      <c r="I41" s="216"/>
      <c r="J41" s="216">
        <v>44862</v>
      </c>
      <c r="K41" s="217">
        <v>50172.608258814304</v>
      </c>
      <c r="L41" s="217">
        <v>6012.8521863068509</v>
      </c>
      <c r="M41" s="217"/>
      <c r="N41" s="217"/>
      <c r="O41" s="216"/>
      <c r="P41" s="216">
        <v>15474</v>
      </c>
      <c r="Q41" s="217">
        <v>18097.601741185696</v>
      </c>
      <c r="R41" s="217">
        <v>1921.6378136931494</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203744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349574</v>
      </c>
      <c r="K44" s="225">
        <v>370233.81870076893</v>
      </c>
      <c r="L44" s="225">
        <v>26130.959211208396</v>
      </c>
      <c r="M44" s="225"/>
      <c r="N44" s="225"/>
      <c r="O44" s="224"/>
      <c r="P44" s="224">
        <v>123260</v>
      </c>
      <c r="Q44" s="225">
        <v>141480.69129923105</v>
      </c>
      <c r="R44" s="225">
        <v>12750.020788791604</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1208838</v>
      </c>
      <c r="AW44" s="296"/>
    </row>
    <row r="45" spans="1:49" x14ac:dyDescent="0.2">
      <c r="B45" s="245" t="s">
        <v>261</v>
      </c>
      <c r="C45" s="203" t="s">
        <v>19</v>
      </c>
      <c r="D45" s="216">
        <v>0</v>
      </c>
      <c r="E45" s="217"/>
      <c r="F45" s="217"/>
      <c r="G45" s="217"/>
      <c r="H45" s="217"/>
      <c r="I45" s="216"/>
      <c r="J45" s="216">
        <v>210638</v>
      </c>
      <c r="K45" s="217">
        <v>221860.6569946869</v>
      </c>
      <c r="L45" s="217">
        <v>14476.054478375438</v>
      </c>
      <c r="M45" s="217"/>
      <c r="N45" s="217"/>
      <c r="O45" s="216"/>
      <c r="P45" s="216">
        <v>75093</v>
      </c>
      <c r="Q45" s="217">
        <v>82820.333005313092</v>
      </c>
      <c r="R45" s="217">
        <v>4474.0455216245618</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1010662</v>
      </c>
      <c r="AW45" s="297"/>
    </row>
    <row r="46" spans="1:49" x14ac:dyDescent="0.2">
      <c r="B46" s="245" t="s">
        <v>262</v>
      </c>
      <c r="C46" s="203" t="s">
        <v>20</v>
      </c>
      <c r="D46" s="216">
        <v>0</v>
      </c>
      <c r="E46" s="217"/>
      <c r="F46" s="217"/>
      <c r="G46" s="217"/>
      <c r="H46" s="217"/>
      <c r="I46" s="216"/>
      <c r="J46" s="216">
        <v>135594</v>
      </c>
      <c r="K46" s="217">
        <v>151954.13715408518</v>
      </c>
      <c r="L46" s="217">
        <v>18590.800437467406</v>
      </c>
      <c r="M46" s="217"/>
      <c r="N46" s="217"/>
      <c r="O46" s="216"/>
      <c r="P46" s="216">
        <v>48571</v>
      </c>
      <c r="Q46" s="217">
        <v>56978.672845914829</v>
      </c>
      <c r="R46" s="217">
        <v>6177.7295625325951</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513157</v>
      </c>
      <c r="AW46" s="297"/>
    </row>
    <row r="47" spans="1:49" x14ac:dyDescent="0.2">
      <c r="B47" s="245" t="s">
        <v>263</v>
      </c>
      <c r="C47" s="203" t="s">
        <v>21</v>
      </c>
      <c r="D47" s="216">
        <v>0</v>
      </c>
      <c r="E47" s="217"/>
      <c r="F47" s="217"/>
      <c r="G47" s="217"/>
      <c r="H47" s="217"/>
      <c r="I47" s="216"/>
      <c r="J47" s="216">
        <v>1762125</v>
      </c>
      <c r="K47" s="217">
        <v>1737469.4683528722</v>
      </c>
      <c r="L47" s="217">
        <v>2879.0232316333954</v>
      </c>
      <c r="M47" s="217"/>
      <c r="N47" s="217"/>
      <c r="O47" s="216"/>
      <c r="P47" s="216">
        <v>509533</v>
      </c>
      <c r="Q47" s="217">
        <v>538204.43164712784</v>
      </c>
      <c r="R47" s="217">
        <v>1136.9567683666046</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336654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-394107.28</v>
      </c>
      <c r="K49" s="217">
        <v>-382540.07193831075</v>
      </c>
      <c r="L49" s="217">
        <v>11567.432532079543</v>
      </c>
      <c r="M49" s="217"/>
      <c r="N49" s="217"/>
      <c r="O49" s="216"/>
      <c r="P49" s="216">
        <v>-123436.36</v>
      </c>
      <c r="Q49" s="217">
        <v>-122011.75806168927</v>
      </c>
      <c r="R49" s="217">
        <v>1424.377467920456</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1795702</v>
      </c>
      <c r="K51" s="217">
        <v>2003663.5157596229</v>
      </c>
      <c r="L51" s="217">
        <v>237631.83028091578</v>
      </c>
      <c r="M51" s="217"/>
      <c r="N51" s="217"/>
      <c r="O51" s="216"/>
      <c r="P51" s="216">
        <v>665173</v>
      </c>
      <c r="Q51" s="217">
        <v>786451.18424037704</v>
      </c>
      <c r="R51" s="217">
        <v>91607.809719084224</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6920857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3337</v>
      </c>
      <c r="K56" s="229">
        <v>3337</v>
      </c>
      <c r="L56" s="229">
        <v>0</v>
      </c>
      <c r="M56" s="229"/>
      <c r="N56" s="229"/>
      <c r="O56" s="228"/>
      <c r="P56" s="228">
        <v>1369</v>
      </c>
      <c r="Q56" s="229">
        <v>1369</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14687</v>
      </c>
      <c r="AW56" s="288"/>
    </row>
    <row r="57" spans="2:49" x14ac:dyDescent="0.2">
      <c r="B57" s="245" t="s">
        <v>272</v>
      </c>
      <c r="C57" s="203" t="s">
        <v>25</v>
      </c>
      <c r="D57" s="231">
        <v>0</v>
      </c>
      <c r="E57" s="232"/>
      <c r="F57" s="232"/>
      <c r="G57" s="232"/>
      <c r="H57" s="232"/>
      <c r="I57" s="231"/>
      <c r="J57" s="231">
        <v>5417</v>
      </c>
      <c r="K57" s="232">
        <v>5333</v>
      </c>
      <c r="L57" s="232">
        <v>562</v>
      </c>
      <c r="M57" s="232"/>
      <c r="N57" s="232"/>
      <c r="O57" s="231"/>
      <c r="P57" s="231">
        <v>2547</v>
      </c>
      <c r="Q57" s="232">
        <v>2631</v>
      </c>
      <c r="R57" s="232">
        <v>259</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32560</v>
      </c>
      <c r="AW57" s="289"/>
    </row>
    <row r="58" spans="2:49" x14ac:dyDescent="0.2">
      <c r="B58" s="245" t="s">
        <v>273</v>
      </c>
      <c r="C58" s="203" t="s">
        <v>26</v>
      </c>
      <c r="D58" s="309"/>
      <c r="E58" s="310"/>
      <c r="F58" s="310"/>
      <c r="G58" s="310"/>
      <c r="H58" s="310"/>
      <c r="I58" s="309"/>
      <c r="J58" s="231">
        <v>363</v>
      </c>
      <c r="K58" s="232">
        <v>363</v>
      </c>
      <c r="L58" s="232"/>
      <c r="M58" s="232"/>
      <c r="N58" s="232"/>
      <c r="O58" s="231"/>
      <c r="P58" s="231">
        <v>16</v>
      </c>
      <c r="Q58" s="232">
        <v>16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16</v>
      </c>
      <c r="AW58" s="289"/>
    </row>
    <row r="59" spans="2:49" x14ac:dyDescent="0.2">
      <c r="B59" s="245" t="s">
        <v>274</v>
      </c>
      <c r="C59" s="203" t="s">
        <v>27</v>
      </c>
      <c r="D59" s="231">
        <v>0</v>
      </c>
      <c r="E59" s="232"/>
      <c r="F59" s="232"/>
      <c r="G59" s="232"/>
      <c r="H59" s="232"/>
      <c r="I59" s="231"/>
      <c r="J59" s="231">
        <v>93598</v>
      </c>
      <c r="K59" s="232">
        <v>92239</v>
      </c>
      <c r="L59" s="232">
        <v>11216</v>
      </c>
      <c r="M59" s="232"/>
      <c r="N59" s="232"/>
      <c r="O59" s="231"/>
      <c r="P59" s="231">
        <v>31842</v>
      </c>
      <c r="Q59" s="232">
        <v>33181</v>
      </c>
      <c r="R59" s="232">
        <v>3539</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390510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7799.833333333333</v>
      </c>
      <c r="K60" s="235">
        <f t="shared" si="0"/>
        <v>7686.583333333333</v>
      </c>
      <c r="L60" s="235">
        <f t="shared" si="0"/>
        <v>934.66666666666663</v>
      </c>
      <c r="M60" s="235">
        <f t="shared" si="0"/>
        <v>0</v>
      </c>
      <c r="N60" s="235">
        <f t="shared" si="0"/>
        <v>0</v>
      </c>
      <c r="O60" s="234">
        <f t="shared" si="0"/>
        <v>0</v>
      </c>
      <c r="P60" s="234">
        <f t="shared" si="0"/>
        <v>2653.5</v>
      </c>
      <c r="Q60" s="235">
        <f t="shared" si="0"/>
        <v>2765.0833333333335</v>
      </c>
      <c r="R60" s="235">
        <f t="shared" si="0"/>
        <v>294.91666666666669</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32542.5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29795333</v>
      </c>
      <c r="K5" s="326">
        <v>34361279.823254399</v>
      </c>
      <c r="L5" s="326">
        <v>4248325.07</v>
      </c>
      <c r="M5" s="326"/>
      <c r="N5" s="326"/>
      <c r="O5" s="325"/>
      <c r="P5" s="325">
        <v>11481440</v>
      </c>
      <c r="Q5" s="326">
        <v>13236277.133594001</v>
      </c>
      <c r="R5" s="326">
        <v>1364021.21</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63377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v>0</v>
      </c>
      <c r="M10" s="319"/>
      <c r="N10" s="319"/>
      <c r="O10" s="318"/>
      <c r="P10" s="365"/>
      <c r="Q10" s="319">
        <v>72019</v>
      </c>
      <c r="R10" s="319">
        <v>8642.2800000000007</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387</v>
      </c>
      <c r="K11" s="319"/>
      <c r="L11" s="319"/>
      <c r="M11" s="319"/>
      <c r="N11" s="319"/>
      <c r="O11" s="318"/>
      <c r="P11" s="318">
        <v>0</v>
      </c>
      <c r="Q11" s="319">
        <v>-36009.519999999997</v>
      </c>
      <c r="R11" s="319">
        <v>-4321.1400000000003</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1821</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-529713.13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24255753</v>
      </c>
      <c r="K23" s="362"/>
      <c r="L23" s="362"/>
      <c r="M23" s="362"/>
      <c r="N23" s="362"/>
      <c r="O23" s="364"/>
      <c r="P23" s="318">
        <v>10427225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c r="G24" s="319"/>
      <c r="H24" s="319"/>
      <c r="I24" s="318"/>
      <c r="J24" s="365"/>
      <c r="K24" s="319">
        <v>26715156.16</v>
      </c>
      <c r="L24" s="319">
        <v>2868144.83</v>
      </c>
      <c r="M24" s="319"/>
      <c r="N24" s="319"/>
      <c r="O24" s="318"/>
      <c r="P24" s="365"/>
      <c r="Q24" s="319">
        <v>10152689</v>
      </c>
      <c r="R24" s="319">
        <v>913423.79</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1884379</v>
      </c>
      <c r="K26" s="362"/>
      <c r="L26" s="362"/>
      <c r="M26" s="362"/>
      <c r="N26" s="362"/>
      <c r="O26" s="364"/>
      <c r="P26" s="318">
        <v>1121121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c r="G27" s="319"/>
      <c r="H27" s="319"/>
      <c r="I27" s="318"/>
      <c r="J27" s="365"/>
      <c r="K27" s="319">
        <v>303059.56637623132</v>
      </c>
      <c r="L27" s="319">
        <v>72432.267699999997</v>
      </c>
      <c r="M27" s="319"/>
      <c r="N27" s="319"/>
      <c r="O27" s="318"/>
      <c r="P27" s="365"/>
      <c r="Q27" s="319">
        <v>96099.464031911251</v>
      </c>
      <c r="R27" s="319">
        <v>20007.461599999999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2333229</v>
      </c>
      <c r="K28" s="363"/>
      <c r="L28" s="363"/>
      <c r="M28" s="363"/>
      <c r="N28" s="363"/>
      <c r="O28" s="365"/>
      <c r="P28" s="318">
        <v>1748301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5511</v>
      </c>
      <c r="K30" s="362"/>
      <c r="L30" s="362"/>
      <c r="M30" s="362"/>
      <c r="N30" s="362"/>
      <c r="O30" s="364"/>
      <c r="P30" s="318">
        <v>1390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-9024.15</v>
      </c>
      <c r="L31" s="319"/>
      <c r="M31" s="319"/>
      <c r="N31" s="319"/>
      <c r="O31" s="318"/>
      <c r="P31" s="365"/>
      <c r="Q31" s="319">
        <v>-3284.34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14535</v>
      </c>
      <c r="K32" s="363"/>
      <c r="L32" s="363"/>
      <c r="M32" s="363"/>
      <c r="N32" s="363"/>
      <c r="O32" s="365"/>
      <c r="P32" s="318">
        <v>4674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63377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v>0</v>
      </c>
      <c r="M39" s="319"/>
      <c r="N39" s="319"/>
      <c r="O39" s="318"/>
      <c r="P39" s="365"/>
      <c r="Q39" s="319">
        <v>72019</v>
      </c>
      <c r="R39" s="319">
        <v>8642.2800000000007</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387</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-36009.519999999997</v>
      </c>
      <c r="R42" s="319">
        <v>-4321.1400000000003</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1821</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82347</v>
      </c>
      <c r="K49" s="319">
        <v>1030978.5906669707</v>
      </c>
      <c r="L49" s="319"/>
      <c r="M49" s="319"/>
      <c r="N49" s="319"/>
      <c r="O49" s="318"/>
      <c r="P49" s="318">
        <v>162020</v>
      </c>
      <c r="Q49" s="319">
        <v>339920.23025067674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245434</v>
      </c>
      <c r="K50" s="363"/>
      <c r="L50" s="363"/>
      <c r="M50" s="363"/>
      <c r="N50" s="363"/>
      <c r="O50" s="365"/>
      <c r="P50" s="318">
        <v>69986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-50480.044320005618</v>
      </c>
      <c r="L53" s="319">
        <v>387232.55054507469</v>
      </c>
      <c r="M53" s="319"/>
      <c r="N53" s="319"/>
      <c r="O53" s="318"/>
      <c r="P53" s="318">
        <v>0</v>
      </c>
      <c r="Q53" s="319">
        <v>-54719.192642485505</v>
      </c>
      <c r="R53" s="319">
        <v>99874.04366436509</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23959532</v>
      </c>
      <c r="K54" s="323">
        <f>K24+K27+K31+K35-K36+K39+K42+K45+K46-K49+K51+K52+K53</f>
        <v>25927732.941389255</v>
      </c>
      <c r="L54" s="323">
        <f>L24+L27+L31+L35-L36+L39+L42+L45+L46-L49+L51+L52+L53</f>
        <v>3327809.6482450748</v>
      </c>
      <c r="M54" s="323">
        <f>M24+M27+M31+M35-M36+M39+M42+M45+M46-M49+M51+M52+M53</f>
        <v>0</v>
      </c>
      <c r="N54" s="323">
        <f>N24+N27+N31+N35-N36+N39+N42+N45+N46-N49+N51+N52+N53</f>
        <v>0</v>
      </c>
      <c r="O54" s="322">
        <f>O24+O27+O31+O35-O36+O39+O42+O45+O46-O49+O51+O52+O53</f>
        <v>0</v>
      </c>
      <c r="P54" s="322">
        <f>P23+P26-P28+P30-P32+P34-P36+P38+P41-P43+P45+P46-P47-P49+P50+P51+P52+P53</f>
        <v>9768104</v>
      </c>
      <c r="Q54" s="323">
        <f>Q24+Q27+Q31+Q35-Q36+Q39+Q42+Q45+Q46-Q49+Q51+Q52+Q53</f>
        <v>9886874.1811387483</v>
      </c>
      <c r="R54" s="323">
        <f>R24+R27+R31+R35-R36+R39+R42+R45+R46-R49+R51+R52+R53</f>
        <v>1037626.4352643652</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44962.79</v>
      </c>
      <c r="K55" s="323">
        <f t="shared" si="0"/>
        <v>50350.187737672939</v>
      </c>
      <c r="L55" s="323">
        <f t="shared" si="0"/>
        <v>6110.8818467373039</v>
      </c>
      <c r="M55" s="323">
        <f t="shared" si="0"/>
        <v>0</v>
      </c>
      <c r="N55" s="323">
        <f t="shared" si="0"/>
        <v>0</v>
      </c>
      <c r="O55" s="322">
        <f t="shared" si="0"/>
        <v>0</v>
      </c>
      <c r="P55" s="322">
        <f t="shared" si="0"/>
        <v>16420.349999999999</v>
      </c>
      <c r="Q55" s="323">
        <f t="shared" si="0"/>
        <v>19140.102262327062</v>
      </c>
      <c r="R55" s="323">
        <f t="shared" si="0"/>
        <v>1996.2681532626964</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44962.79</v>
      </c>
      <c r="K56" s="319">
        <v>50350.187737672939</v>
      </c>
      <c r="L56" s="319">
        <v>6110.8818467373039</v>
      </c>
      <c r="M56" s="319"/>
      <c r="N56" s="319"/>
      <c r="O56" s="318"/>
      <c r="P56" s="318">
        <v>16420.349999999999</v>
      </c>
      <c r="Q56" s="319">
        <v>19140.102262327062</v>
      </c>
      <c r="R56" s="319">
        <v>1996.2681532626964</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64650</v>
      </c>
      <c r="K57" s="319">
        <v>71867.87</v>
      </c>
      <c r="L57" s="319">
        <v>7217.38</v>
      </c>
      <c r="M57" s="319"/>
      <c r="N57" s="319"/>
      <c r="O57" s="318"/>
      <c r="P57" s="318">
        <v>37526</v>
      </c>
      <c r="Q57" s="319">
        <v>43892.03</v>
      </c>
      <c r="R57" s="319">
        <v>6366.39</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29777648.399999999</v>
      </c>
      <c r="I5" s="403">
        <v>33300193.25</v>
      </c>
      <c r="J5" s="454"/>
      <c r="K5" s="454"/>
      <c r="L5" s="448"/>
      <c r="M5" s="402">
        <v>36183352.829999998</v>
      </c>
      <c r="N5" s="403">
        <v>26151491.530000001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-672.33249999999998</v>
      </c>
      <c r="E6" s="400">
        <f>SUM('Pt 1 Summary of Data'!E$12,'Pt 1 Summary of Data'!E$22)+SUM('Pt 1 Summary of Data'!G$12,'Pt 1 Summary of Data'!G$22)-SUM('Pt 1 Summary of Data'!H$12,'Pt 1 Summary of Data'!H$22)</f>
        <v>0</v>
      </c>
      <c r="F6" s="400">
        <f t="shared" ref="F6:F11" si="0">SUM(C6:E6)</f>
        <v>-672.33249999999998</v>
      </c>
      <c r="G6" s="401">
        <f>SUM('Pt 1 Summary of Data'!I$12,'Pt 1 Summary of Data'!I$22)</f>
        <v>0</v>
      </c>
      <c r="H6" s="397">
        <v>29784099.556991279</v>
      </c>
      <c r="I6" s="398">
        <v>33574242.40943408</v>
      </c>
      <c r="J6" s="400">
        <f>SUM('Pt 1 Summary of Data'!K$12,'Pt 1 Summary of Data'!K$22)+SUM('Pt 1 Summary of Data'!M$12,'Pt 1 Summary of Data'!M$22)-SUM('Pt 1 Summary of Data'!N$12,'Pt 1 Summary of Data'!N$22)</f>
        <v>25978083.129126929</v>
      </c>
      <c r="K6" s="400">
        <f>SUM(H6:J6)</f>
        <v>89336425.095552295</v>
      </c>
      <c r="L6" s="401">
        <f>SUM('Pt 1 Summary of Data'!O$12,'Pt 1 Summary of Data'!O$22)</f>
        <v>0</v>
      </c>
      <c r="M6" s="397">
        <v>36146844.047263056</v>
      </c>
      <c r="N6" s="398">
        <v>25928668.402683698</v>
      </c>
      <c r="O6" s="400">
        <f>SUM('Pt 1 Summary of Data'!Q$12,'Pt 1 Summary of Data'!Q$22)+SUM('Pt 1 Summary of Data'!S$12,'Pt 1 Summary of Data'!S$22)-SUM('Pt 1 Summary of Data'!T$12,'Pt 1 Summary of Data'!T$22)</f>
        <v>9906014.2834010758</v>
      </c>
      <c r="P6" s="400">
        <f>SUM(M6:O6)</f>
        <v>71981526.733347833</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866485.6</v>
      </c>
      <c r="I7" s="398">
        <v>820148.85</v>
      </c>
      <c r="J7" s="400">
        <f>SUM('Pt 1 Summary of Data'!K$37:K$41)+SUM('Pt 1 Summary of Data'!M$37:M$41)-SUM('Pt 1 Summary of Data'!N$37:N$41)+MAX(0,MIN('Pt 1 Summary of Data'!K$42+'Pt 1 Summary of Data'!M$42-'Pt 1 Summary of Data'!N$42,0.3%*('Pt 1 Summary of Data'!K$5+'Pt 1 Summary of Data'!M$5-'Pt 1 Summary of Data'!N$5-SUM(J$10:J$11))))</f>
        <v>515419.24029344425</v>
      </c>
      <c r="K7" s="400">
        <f>SUM(H7:J7)</f>
        <v>2202053.6902934443</v>
      </c>
      <c r="L7" s="401">
        <f>SUM('Pt 1 Summary of Data'!O$37:O$41)+MAX(0,MIN(VALUE('Pt 1 Summary of Data'!O$42),0.3%*('Pt 1 Summary of Data'!O$5-L$10)))</f>
        <v>0</v>
      </c>
      <c r="M7" s="397">
        <v>950474.14</v>
      </c>
      <c r="N7" s="398">
        <v>626231.31000000006</v>
      </c>
      <c r="O7" s="400">
        <f>SUM('Pt 1 Summary of Data'!Q$37:Q$41)+SUM('Pt 1 Summary of Data'!S$37:S$41)-SUM('Pt 1 Summary of Data'!T$37:T$41)+MAX(0,MIN('Pt 1 Summary of Data'!Q$42+'Pt 1 Summary of Data'!S$42-'Pt 1 Summary of Data'!T$42,0.3%*('Pt 1 Summary of Data'!Q$5+'Pt 1 Summary of Data'!S$5-'Pt 1 Summary of Data'!T$5)))</f>
        <v>240692.15970655574</v>
      </c>
      <c r="P7" s="400">
        <f>SUM(M7:O7)</f>
        <v>1817397.609706556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-251013.94</v>
      </c>
      <c r="J10" s="400">
        <f>'Pt 2 Premium and Claims'!K$16+'Pt 2 Premium and Claims'!M$16-'Pt 2 Premium and Claims'!N$16</f>
        <v>-529713.13</v>
      </c>
      <c r="K10" s="400">
        <f>SUM(H10:J10)</f>
        <v>-780727.07000000007</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-672.33249999999998</v>
      </c>
      <c r="E12" s="400">
        <f>SUM(E$6:E$7)-SUM(E$8:E$11)+IF(AND(OR('Company Information'!$C$12="District of Columbia",'Company Information'!$C$12="Massachusetts",'Company Information'!$C$12="Vermont"),SUM($C$6:$F$11,$C$15:$F$16,$C$38:$D$38)&lt;&gt;0),SUM(J$6:J$7)-SUM(J$10:J$11),0)</f>
        <v>0</v>
      </c>
      <c r="F12" s="400">
        <f>IFERROR(SUM(C$12:E$12)+C$17*MAX(0,E$50-C$50)+D$17*MAX(0,E$50-D$50),0)</f>
        <v>-672.33249999999998</v>
      </c>
      <c r="G12" s="447"/>
      <c r="H12" s="399">
        <f>SUM(H$6:H$7)+IF(AND(OR('Company Information'!$C$12="District of Columbia",'Company Information'!$C$12="Massachusetts",'Company Information'!$C$12="Vermont"),SUM($H$6:$K$11,$H$15:$K$16,$H$38:$I$38)&lt;&gt;0),SUM(C$6:C$7),0)</f>
        <v>30650585.156991281</v>
      </c>
      <c r="I12" s="400">
        <f>SUM(I$6:I$7) - SUM(I$10:I$11)+IF(AND(OR('Company Information'!$C$12="District of Columbia",'Company Information'!$C$12="Massachusetts",'Company Information'!$C$12="Vermont"),SUM($H$6:$K$11,$H$15:$K$16,$H$38:$I$38)&lt;&gt;0),SUM(D$6:D$7) - SUM(D$8:D$11),0)</f>
        <v>34645405.199434079</v>
      </c>
      <c r="J12" s="400">
        <f>SUM(J$6:J$7)-SUM(J$10:J$11)+IF(AND(OR('Company Information'!$C$12="District of Columbia",'Company Information'!$C$12="Massachusetts",'Company Information'!$C$12="Vermont"),SUM($H$6:$K$11,$H$15:$K$16,$H$38:$I$38)&lt;&gt;0),SUM(E$6:E$7)-SUM(E$8:E$11),0)</f>
        <v>27023215.499420371</v>
      </c>
      <c r="K12" s="400">
        <f>IFERROR(SUM(H$12:J$12)+H$17*MAX(0,J$50-H$50)+I$17*MAX(0,J$50-I$50),0)</f>
        <v>92319205.855845734</v>
      </c>
      <c r="L12" s="447"/>
      <c r="M12" s="399">
        <f>SUM(M$6:M$7)</f>
        <v>37097318.187263057</v>
      </c>
      <c r="N12" s="400">
        <f>SUM(N$6:N$7)</f>
        <v>26554899.712683696</v>
      </c>
      <c r="O12" s="400">
        <f>SUM(O$6:O$7)</f>
        <v>10146706.443107631</v>
      </c>
      <c r="P12" s="400">
        <f>SUM(M$12:O$12)+M$17*MAX(0,O$50-M$50)+N$17*MAX(0,O$50-N$50)</f>
        <v>73798924.343054384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40317341.609999999</v>
      </c>
      <c r="I15" s="403">
        <v>44256379.659999996</v>
      </c>
      <c r="J15" s="395">
        <f>SUM('Pt 1 Summary of Data'!K$5:K$7)+SUM('Pt 1 Summary of Data'!M$5:M$7)-SUM('Pt 1 Summary of Data'!N$5:N$7)-SUM(J$10:J$11)</f>
        <v>34361182.2832544</v>
      </c>
      <c r="K15" s="395">
        <f>SUM(H15:J15)</f>
        <v>118934903.5532544</v>
      </c>
      <c r="L15" s="396">
        <f>SUM('Pt 1 Summary of Data'!O$5:O$7)-L$10</f>
        <v>0</v>
      </c>
      <c r="M15" s="402">
        <v>41137256.460000001</v>
      </c>
      <c r="N15" s="403">
        <v>32788411.940000001</v>
      </c>
      <c r="O15" s="395">
        <f>SUM('Pt 1 Summary of Data'!Q$5:Q$7)+SUM('Pt 1 Summary of Data'!S$5:S$7)-SUM('Pt 1 Summary of Data'!T$5:T$7)+N$56</f>
        <v>13236223.253594</v>
      </c>
      <c r="P15" s="395">
        <f>SUM(M15:O15)</f>
        <v>87161891.653594002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2694943.14</v>
      </c>
      <c r="I16" s="398">
        <v>3082494.58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2826486.0427648956</v>
      </c>
      <c r="K16" s="400">
        <f>SUM(H16:J16)</f>
        <v>8603923.7627648972</v>
      </c>
      <c r="L16" s="401">
        <f>SUM('Pt 1 Summary of Data'!O$25:O$28,'Pt 1 Summary of Data'!O$30,'Pt 1 Summary of Data'!O$34:O$35)+IF('Company Information'!$C$15="No",IF(MAX('Pt 1 Summary of Data'!O$31:O$32)=0,MIN('Pt 1 Summary of Data'!O$31:O$32),MAX('Pt 1 Summary of Data'!O$31:O$32)),SUM('Pt 1 Summary of Data'!O$31:O$32))</f>
        <v>0</v>
      </c>
      <c r="M16" s="397">
        <v>2007104.37</v>
      </c>
      <c r="N16" s="398">
        <v>1796817.64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997744.29466160014</v>
      </c>
      <c r="P16" s="400">
        <f>SUM(M16:O16)</f>
        <v>4801666.3046615999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37622398.469999999</v>
      </c>
      <c r="I17" s="400">
        <f>I$15-I$16+IF(AND(OR('Company Information'!$C$12="District of Columbia",'Company Information'!$C$12="Massachusetts",'Company Information'!$C$12="Vermont"),SUM($H$6:$K$11,$H$15:$K$16,$H$38:$I$38)&lt;&gt;0),D$15-D$16,0)</f>
        <v>41173885.079999998</v>
      </c>
      <c r="J17" s="400">
        <f>J$15-J$16+IF(AND(OR('Company Information'!$C$12="District of Columbia",'Company Information'!$C$12="Massachusetts",'Company Information'!$C$12="Vermont"),SUM($H$6:$K$11,$H$15:$K$16,$H$38:$I$38)&lt;&gt;0),E$15-E$16,0)</f>
        <v>31534696.240489505</v>
      </c>
      <c r="K17" s="400">
        <f>K$15-K$16+IF(AND(OR('Company Information'!$C$12="District of Columbia",'Company Information'!$C$12="Massachusetts",'Company Information'!$C$12="Vermont"),SUM($H$6:$K$11,$H$15:$K$16,$H$38:$I$38)&lt;&gt;0),F$15-F$16,0)</f>
        <v>110330979.79048949</v>
      </c>
      <c r="L17" s="450"/>
      <c r="M17" s="399">
        <f>M$15-M$16</f>
        <v>39130152.090000004</v>
      </c>
      <c r="N17" s="400">
        <f>N$15-N$16</f>
        <v>30991594.300000001</v>
      </c>
      <c r="O17" s="400">
        <f>O$15-O$16</f>
        <v>12238478.9589324</v>
      </c>
      <c r="P17" s="400">
        <f>P$15-P$16</f>
        <v>82360225.3489324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9871</v>
      </c>
      <c r="I38" s="405">
        <v>10712.75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7686.583333333333</v>
      </c>
      <c r="K38" s="432">
        <f>SUM(H$38:J$38)+IF(AND(OR('Company Information'!$C$12="District of Columbia",'Company Information'!$C$12="Massachusetts",'Company Information'!$C$12="Vermont"),SUM($H$6:$K$11,$H$15:$K$16,$H$38:$I$38)&lt;&gt;0,SUM(H$38:I$38)&lt;&gt;SUM(C$38:D$38)),SUM(C$38:D$38),0)</f>
        <v>28270.333333333332</v>
      </c>
      <c r="L38" s="448"/>
      <c r="M38" s="404">
        <v>9875</v>
      </c>
      <c r="N38" s="405">
        <v>7562.75</v>
      </c>
      <c r="O38" s="432">
        <f>('Pt 1 Summary of Data'!Q$59+'Pt 1 Summary of Data'!S$59-'Pt 1 Summary of Data'!T$59)/12</f>
        <v>2765.0833333333335</v>
      </c>
      <c r="P38" s="432">
        <f>SUM(M$38:O$38)</f>
        <v>20202.833333333332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1.5476746666666668E-2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1.919811111111111E-2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2366</v>
      </c>
      <c r="L40" s="447"/>
      <c r="M40" s="443"/>
      <c r="N40" s="441"/>
      <c r="O40" s="441"/>
      <c r="P40" s="398">
        <v>2161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1.5476746666666668E-2</v>
      </c>
      <c r="L42" s="447"/>
      <c r="M42" s="443"/>
      <c r="N42" s="441"/>
      <c r="O42" s="441"/>
      <c r="P42" s="436">
        <f ca="1">IF(OR(P$38&lt;1000,P$38&gt;=75000),0,P$39*P$41)</f>
        <v>1.919811111111111E-2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f>IF(OR(H$38&lt;1000,H$17&lt;=0),"",H$12/H$17)</f>
        <v>0.81468982317626493</v>
      </c>
      <c r="I45" s="436">
        <f>IF(OR(I$38&lt;1000,I$17&lt;=0),"",I$12/I$17)</f>
        <v>0.84144124685146371</v>
      </c>
      <c r="J45" s="436">
        <f>IF(OR(J$38&lt;1000,J$17&lt;=0),"",J$12/J$17)</f>
        <v>0.85693596961696616</v>
      </c>
      <c r="K45" s="436">
        <f>IF(OR(K$38&lt;1000,K$17&lt;=0),"",K$12/K$17)</f>
        <v>0.83674781127796738</v>
      </c>
      <c r="L45" s="447"/>
      <c r="M45" s="438">
        <f>IF(OR(M$38&lt;1000,M$17&lt;=0),"",M$12/M$17)</f>
        <v>0.94804942495338651</v>
      </c>
      <c r="N45" s="436">
        <f>IF(OR(N$38&lt;1000,N$17&lt;=0),"",N$12/N$17)</f>
        <v>0.85684200224199814</v>
      </c>
      <c r="O45" s="436">
        <f>IF(OR(O$38&lt;1000,O$17&lt;=0),"",O$12/O$17)</f>
        <v>0.82908231301913027</v>
      </c>
      <c r="P45" s="436">
        <f>IF(OR(P$38&lt;1000,P$17&lt;=0),"",P$12/P$17)</f>
        <v>0.89605053932761014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f ca="1">IF(K$45="","",K$42)</f>
        <v>1.5476746666666668E-2</v>
      </c>
      <c r="L47" s="447"/>
      <c r="M47" s="443"/>
      <c r="N47" s="441"/>
      <c r="O47" s="441"/>
      <c r="P47" s="436">
        <f ca="1">IF(P$45="","",P$42)</f>
        <v>1.919811111111111E-2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f ca="1">IF(K$45="","",ROUND(K$45+MAX(0,K$47),3))</f>
        <v>0.85199999999999998</v>
      </c>
      <c r="L48" s="447"/>
      <c r="M48" s="443"/>
      <c r="N48" s="441"/>
      <c r="O48" s="441"/>
      <c r="P48" s="436">
        <f ca="1">IF(P$45="","",ROUND(P$45+MAX(0,P$47),3))</f>
        <v>0.91500000000000004</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0.85199999999999998</v>
      </c>
      <c r="L51" s="447"/>
      <c r="M51" s="444"/>
      <c r="N51" s="442"/>
      <c r="O51" s="442"/>
      <c r="P51" s="436">
        <f ca="1">P$48</f>
        <v>0.91500000000000004</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f>IF(K$38&lt;1000,"",MAX(0,J$15-J$16))</f>
        <v>31534696.240489505</v>
      </c>
      <c r="L52" s="447"/>
      <c r="M52" s="443"/>
      <c r="N52" s="441"/>
      <c r="O52" s="441"/>
      <c r="P52" s="400">
        <f>IF(P$38&lt;1000,"",MAX(0,O$15-O$16))</f>
        <v>12238478.9589324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3337</v>
      </c>
      <c r="E4" s="104">
        <f>'Pt 1 Summary of Data'!$Q$56+'Pt 1 Summary of Data'!$S$56-'Pt 1 Summary of Data'!$T$56</f>
        <v>1369</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