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P53" i="10"/>
  <c r="E11" i="16" s="1"/>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P45" i="10"/>
  <c r="P47" i="10" s="1"/>
  <c r="O45" i="10"/>
  <c r="N45" i="10"/>
  <c r="M45" i="10"/>
  <c r="AN42" i="10"/>
  <c r="AB42" i="10"/>
  <c r="X42" i="10"/>
  <c r="T42" i="10"/>
  <c r="P42" i="10"/>
  <c r="AN41" i="10"/>
  <c r="AB41" i="10"/>
  <c r="X41" i="10"/>
  <c r="T41" i="10"/>
  <c r="P41" i="10"/>
  <c r="K41" i="10"/>
  <c r="F41" i="10"/>
  <c r="AN39" i="10"/>
  <c r="T39" i="10"/>
  <c r="AN38" i="10"/>
  <c r="AM38" i="10"/>
  <c r="AB38" i="10"/>
  <c r="AA38" i="10"/>
  <c r="X38" i="10"/>
  <c r="W38" i="10"/>
  <c r="T38" i="10"/>
  <c r="S38" i="10"/>
  <c r="P38" i="10"/>
  <c r="O38" i="10"/>
  <c r="L32" i="10"/>
  <c r="L27" i="10"/>
  <c r="L24" i="10"/>
  <c r="L23" i="10"/>
  <c r="L20" i="10"/>
  <c r="L19" i="10"/>
  <c r="L22" i="10" s="1"/>
  <c r="L30" i="10" s="1"/>
  <c r="L31" i="10" s="1"/>
  <c r="AN17" i="10"/>
  <c r="AM17" i="10"/>
  <c r="AL17" i="10"/>
  <c r="AK17" i="10"/>
  <c r="AB17" i="10"/>
  <c r="AA17" i="10"/>
  <c r="Z17" i="10"/>
  <c r="Y17" i="10"/>
  <c r="X17" i="10"/>
  <c r="W17" i="10"/>
  <c r="V17" i="10"/>
  <c r="U17" i="10"/>
  <c r="T17" i="10"/>
  <c r="S17" i="10"/>
  <c r="R17" i="10"/>
  <c r="Q17" i="10"/>
  <c r="P17" i="10"/>
  <c r="O17" i="10"/>
  <c r="N17" i="10"/>
  <c r="P12" i="10" s="1"/>
  <c r="M17" i="10"/>
  <c r="AN16" i="10"/>
  <c r="AM16" i="10"/>
  <c r="AB16" i="10"/>
  <c r="AA16" i="10"/>
  <c r="X16" i="10"/>
  <c r="W16" i="10"/>
  <c r="V13" i="10" s="1"/>
  <c r="T16" i="10"/>
  <c r="S16" i="10"/>
  <c r="P16" i="10"/>
  <c r="O16" i="10"/>
  <c r="L16" i="10"/>
  <c r="K16" i="10"/>
  <c r="J16" i="10"/>
  <c r="G16" i="10"/>
  <c r="F16" i="10"/>
  <c r="E16" i="10"/>
  <c r="AN15" i="10"/>
  <c r="AM15" i="10"/>
  <c r="AB15" i="10"/>
  <c r="AA15" i="10"/>
  <c r="X15" i="10"/>
  <c r="W15" i="10"/>
  <c r="T15" i="10"/>
  <c r="S15" i="10"/>
  <c r="P15" i="10"/>
  <c r="O15" i="10"/>
  <c r="L15" i="10"/>
  <c r="G15" i="10"/>
  <c r="G32" i="10" s="1"/>
  <c r="AN13" i="10"/>
  <c r="AM13" i="10"/>
  <c r="AL13" i="10"/>
  <c r="AK13" i="10"/>
  <c r="AB13" i="10"/>
  <c r="AA13" i="10"/>
  <c r="Z13" i="10"/>
  <c r="Y13" i="10"/>
  <c r="W13" i="10"/>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U22" i="4" s="1"/>
  <c r="AT55" i="18"/>
  <c r="AT22" i="4" s="1"/>
  <c r="AS55" i="18"/>
  <c r="AS22" i="4" s="1"/>
  <c r="AR55" i="18"/>
  <c r="AR22" i="4" s="1"/>
  <c r="AQ55" i="18"/>
  <c r="AP55" i="18"/>
  <c r="AP22" i="4" s="1"/>
  <c r="AO55" i="18"/>
  <c r="AN55" i="18"/>
  <c r="AC55" i="18"/>
  <c r="AB55" i="18"/>
  <c r="AB22" i="4" s="1"/>
  <c r="AA55" i="18"/>
  <c r="AA22" i="4" s="1"/>
  <c r="Z55" i="18"/>
  <c r="Y55" i="18"/>
  <c r="Y22" i="4" s="1"/>
  <c r="X55" i="18"/>
  <c r="X22" i="4" s="1"/>
  <c r="W55" i="18"/>
  <c r="W22" i="4" s="1"/>
  <c r="V55" i="18"/>
  <c r="U55" i="18"/>
  <c r="U22" i="4" s="1"/>
  <c r="T55" i="18"/>
  <c r="S55" i="18"/>
  <c r="R55" i="18"/>
  <c r="Q55" i="18"/>
  <c r="Q22" i="4" s="1"/>
  <c r="P55" i="18"/>
  <c r="O55" i="18"/>
  <c r="O22" i="4" s="1"/>
  <c r="N55" i="18"/>
  <c r="M55" i="18"/>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R54" i="18"/>
  <c r="AR12" i="4" s="1"/>
  <c r="AQ54" i="18"/>
  <c r="AQ12" i="4" s="1"/>
  <c r="AP54" i="18"/>
  <c r="AP12" i="4" s="1"/>
  <c r="AO54" i="18"/>
  <c r="AO12" i="4" s="1"/>
  <c r="AN54" i="18"/>
  <c r="AN12" i="4" s="1"/>
  <c r="AC54" i="18"/>
  <c r="AC12" i="4" s="1"/>
  <c r="AB54" i="18"/>
  <c r="AB12" i="4" s="1"/>
  <c r="AA54" i="18"/>
  <c r="AA12" i="4" s="1"/>
  <c r="Z54" i="18"/>
  <c r="Z12" i="4" s="1"/>
  <c r="Y54" i="18"/>
  <c r="Y12" i="4" s="1"/>
  <c r="X54" i="18"/>
  <c r="X12" i="4" s="1"/>
  <c r="W54" i="18"/>
  <c r="W12" i="4" s="1"/>
  <c r="V54" i="18"/>
  <c r="V12" i="4" s="1"/>
  <c r="U54" i="18"/>
  <c r="T54" i="18"/>
  <c r="T12" i="4" s="1"/>
  <c r="S54" i="18"/>
  <c r="R54" i="18"/>
  <c r="R12" i="4" s="1"/>
  <c r="Q54" i="18"/>
  <c r="Q12" i="4" s="1"/>
  <c r="P54" i="18"/>
  <c r="P12" i="4" s="1"/>
  <c r="O54" i="18"/>
  <c r="N54" i="18"/>
  <c r="M54" i="18"/>
  <c r="M12" i="4" s="1"/>
  <c r="L54" i="18"/>
  <c r="L12" i="4" s="1"/>
  <c r="K54" i="18"/>
  <c r="K12" i="4" s="1"/>
  <c r="J54" i="18"/>
  <c r="J12" i="4" s="1"/>
  <c r="I54" i="18"/>
  <c r="I12" i="4" s="1"/>
  <c r="H54" i="18"/>
  <c r="G54" i="18"/>
  <c r="F54" i="18"/>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Q22" i="4"/>
  <c r="AO22" i="4"/>
  <c r="AN22" i="4"/>
  <c r="AC22" i="4"/>
  <c r="Z22" i="4"/>
  <c r="V22" i="4"/>
  <c r="T22" i="4"/>
  <c r="S22" i="4"/>
  <c r="R22" i="4"/>
  <c r="P22" i="4"/>
  <c r="N22" i="4"/>
  <c r="M22" i="4"/>
  <c r="U12" i="4"/>
  <c r="S12" i="4"/>
  <c r="O12" i="4"/>
  <c r="N12" i="4"/>
  <c r="H12" i="4"/>
  <c r="G12" i="4"/>
  <c r="F12" i="4"/>
  <c r="AU5" i="4"/>
  <c r="AT5" i="4"/>
  <c r="AS5" i="4"/>
  <c r="AR5" i="4"/>
  <c r="AQ5" i="4"/>
  <c r="AP5" i="4"/>
  <c r="AO5" i="4"/>
  <c r="AN5" i="4"/>
  <c r="AC5" i="4"/>
  <c r="AB5" i="4"/>
  <c r="AA5" i="4"/>
  <c r="Z5" i="4"/>
  <c r="Y5" i="4"/>
  <c r="X5" i="4"/>
  <c r="W5" i="4"/>
  <c r="V5" i="4"/>
  <c r="U5" i="4"/>
  <c r="T5" i="4"/>
  <c r="S5" i="4"/>
  <c r="R5" i="4"/>
  <c r="Q5" i="4"/>
  <c r="P5" i="4"/>
  <c r="O5" i="4"/>
  <c r="N5" i="4"/>
  <c r="M5" i="4"/>
  <c r="L5" i="4"/>
  <c r="K5" i="4"/>
  <c r="J7" i="10" s="1"/>
  <c r="J5" i="4"/>
  <c r="I5" i="4"/>
  <c r="G7" i="10" s="1"/>
  <c r="H5" i="4"/>
  <c r="E7" i="10" s="1"/>
  <c r="G5" i="4"/>
  <c r="F5" i="4"/>
  <c r="E5" i="4"/>
  <c r="E15" i="10" s="1"/>
  <c r="D5" i="4"/>
  <c r="F15" i="10" l="1"/>
  <c r="E12" i="10" s="1"/>
  <c r="G19" i="10"/>
  <c r="G22" i="10" s="1"/>
  <c r="G30" i="10" s="1"/>
  <c r="G31" i="10" s="1"/>
  <c r="G29" i="10" s="1"/>
  <c r="G33" i="10" s="1"/>
  <c r="G34" i="10" s="1"/>
  <c r="G20" i="10"/>
  <c r="K7" i="10"/>
  <c r="F7" i="10"/>
  <c r="E17" i="10" s="1"/>
  <c r="C17" i="10"/>
  <c r="C45" i="10" s="1"/>
  <c r="E38" i="10"/>
  <c r="G23" i="10"/>
  <c r="G27" i="10"/>
  <c r="J15" i="10"/>
  <c r="G24" i="10"/>
  <c r="P48" i="10"/>
  <c r="P51" i="10" s="1"/>
  <c r="AB39" i="10"/>
  <c r="X39" i="10"/>
  <c r="P39" i="10"/>
  <c r="L29" i="10"/>
  <c r="L33" i="10" s="1"/>
  <c r="L34" i="10" s="1"/>
  <c r="L21" i="10"/>
  <c r="L26" i="10" s="1"/>
  <c r="L25" i="10" s="1"/>
  <c r="L28" i="10" s="1"/>
  <c r="T13" i="10"/>
  <c r="X13" i="10"/>
  <c r="U13" i="10"/>
  <c r="Q13" i="10"/>
  <c r="R13" i="10"/>
  <c r="C12" i="10"/>
  <c r="D12" i="10"/>
  <c r="S13" i="10"/>
  <c r="F17" i="10" l="1"/>
  <c r="D17" i="10"/>
  <c r="D45" i="10" s="1"/>
  <c r="K15" i="10"/>
  <c r="E45" i="10"/>
  <c r="F38" i="10"/>
  <c r="J38" i="10"/>
  <c r="G21" i="10"/>
  <c r="G26" i="10" s="1"/>
  <c r="G25" i="10" s="1"/>
  <c r="G28" i="10" s="1"/>
  <c r="F12" i="10" l="1"/>
  <c r="K17" i="10"/>
  <c r="I12" i="10"/>
  <c r="H12" i="10"/>
  <c r="F53" i="10"/>
  <c r="C11" i="16" s="1"/>
  <c r="F45" i="10"/>
  <c r="F39" i="10"/>
  <c r="F42" i="10"/>
  <c r="F52" i="10"/>
  <c r="I17" i="10"/>
  <c r="I45" i="10" s="1"/>
  <c r="K38" i="10"/>
  <c r="J12" i="10"/>
  <c r="J17" i="10"/>
  <c r="J45" i="10" s="1"/>
  <c r="H17" i="10"/>
  <c r="H45" i="10" s="1"/>
  <c r="K45" i="10" l="1"/>
  <c r="K39" i="10"/>
  <c r="K42" i="10"/>
  <c r="K53" i="10"/>
  <c r="D11" i="16" s="1"/>
  <c r="K52" i="10"/>
  <c r="K12" i="10"/>
  <c r="F48" i="10"/>
  <c r="F51" i="10" s="1"/>
  <c r="F47" i="10"/>
  <c r="K48" i="10" l="1"/>
  <c r="K51" i="10" s="1"/>
  <c r="K47" i="10"/>
</calcChain>
</file>

<file path=xl/sharedStrings.xml><?xml version="1.0" encoding="utf-8"?>
<sst xmlns="http://schemas.openxmlformats.org/spreadsheetml/2006/main" count="630" uniqueCount="531">
  <si>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</si>
  <si>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</si>
  <si>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</si>
  <si>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</si>
  <si>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</si>
  <si>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</si>
  <si>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</si>
  <si>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</si>
  <si>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</si>
  <si>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</si>
  <si>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</si>
  <si>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</si>
  <si>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</si>
  <si>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</si>
  <si>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</si>
  <si>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</si>
  <si>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</si>
  <si>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</si>
  <si>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</si>
  <si>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</si>
  <si>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</si>
  <si>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</si>
  <si>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</si>
  <si>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</si>
  <si>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</si>
  <si>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</si>
  <si>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</si>
  <si>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</si>
  <si>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</si>
  <si>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</si>
  <si>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</si>
  <si>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</si>
  <si>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</si>
  <si>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</si>
  <si>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</si>
  <si>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</si>
  <si>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</si>
  <si>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</si>
  <si>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</si>
  <si>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</si>
  <si>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</si>
  <si>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</si>
  <si>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</si>
  <si>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</si>
  <si>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</si>
  <si>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</si>
  <si>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</si>
  <si>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</si>
  <si>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</si>
  <si>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</si>
  <si>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</si>
  <si>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</si>
  <si>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</si>
  <si>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</si>
  <si>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</si>
  <si>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</si>
  <si>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</si>
  <si>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</si>
  <si>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</si>
  <si>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</si>
  <si>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</si>
  <si>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</si>
  <si>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</si>
  <si>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</si>
  <si>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</si>
  <si>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</si>
  <si>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</si>
  <si>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</si>
  <si>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</si>
  <si>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</si>
  <si>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</si>
  <si>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</si>
  <si>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</si>
  <si>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</si>
  <si>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</si>
  <si>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</si>
  <si>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</si>
  <si>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</si>
  <si>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</si>
  <si>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</si>
  <si>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</si>
  <si>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</si>
  <si>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</si>
  <si>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</si>
  <si>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</si>
  <si>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</si>
  <si>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</si>
  <si>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</si>
  <si>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</si>
  <si>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</si>
  <si>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</si>
  <si>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</si>
  <si>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</si>
  <si>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</si>
  <si>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</si>
  <si>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</si>
  <si>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</si>
  <si>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</si>
  <si>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</si>
  <si>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</si>
  <si>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</si>
  <si>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</si>
  <si>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</si>
  <si>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</si>
  <si>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</si>
  <si>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</si>
  <si>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</si>
  <si>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</si>
  <si>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</si>
  <si>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</si>
  <si>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</si>
  <si>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</si>
  <si>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</si>
  <si>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</si>
  <si>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</si>
  <si>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</si>
  <si>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</si>
  <si>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</si>
  <si>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</si>
  <si>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</si>
  <si>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</si>
  <si>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</si>
  <si>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</si>
  <si>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</si>
  <si>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</si>
  <si>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</si>
  <si>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</si>
  <si>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</si>
  <si>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</si>
  <si>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</si>
  <si>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</si>
  <si>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</si>
  <si>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</si>
  <si>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</si>
  <si>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</si>
  <si>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</si>
  <si>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</si>
  <si>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</si>
  <si>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</si>
  <si>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</si>
  <si>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</si>
  <si>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</si>
  <si>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</si>
  <si>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</si>
  <si>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</si>
  <si>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</si>
  <si>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</si>
  <si>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</si>
  <si>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</si>
  <si>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</si>
  <si>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</si>
  <si>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</si>
  <si>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</si>
  <si>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</si>
  <si>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</si>
  <si>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</si>
  <si>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</si>
  <si>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</si>
  <si>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</si>
  <si>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</si>
  <si>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</si>
  <si>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</si>
  <si>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</si>
  <si>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</si>
  <si>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</si>
  <si>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</si>
  <si>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</si>
  <si>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</si>
  <si>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</si>
  <si>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</si>
  <si>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</si>
  <si>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</si>
  <si>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</si>
  <si>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</si>
  <si>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</si>
  <si>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</si>
  <si>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</si>
  <si>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</si>
  <si>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</si>
  <si>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</si>
  <si>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</si>
  <si>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</si>
  <si>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</si>
  <si>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</si>
  <si>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</si>
  <si>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</si>
  <si>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</si>
  <si>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</si>
  <si>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</si>
  <si>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</si>
  <si>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</si>
  <si>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</si>
  <si>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</si>
  <si>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</si>
  <si>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</si>
  <si>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</si>
  <si>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</si>
  <si>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</si>
  <si>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</si>
  <si>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</si>
  <si>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</si>
  <si>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</si>
  <si>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</si>
  <si>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</si>
  <si>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</si>
  <si>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</si>
  <si>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</si>
  <si>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</si>
  <si>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</si>
  <si>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</si>
  <si>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</si>
  <si>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</si>
  <si>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</si>
  <si>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</si>
  <si>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</si>
  <si>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</si>
  <si>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</si>
  <si>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</si>
  <si>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</si>
  <si>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</si>
  <si>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</si>
  <si>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</si>
  <si>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</si>
  <si>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</si>
  <si>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</si>
  <si>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</si>
  <si>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</si>
  <si>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</si>
  <si>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</si>
  <si>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</si>
  <si>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</si>
  <si>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</si>
  <si>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</si>
  <si>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</si>
  <si>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</si>
  <si>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</si>
  <si>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</si>
  <si>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</si>
  <si>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</si>
  <si>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</si>
  <si>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</si>
  <si>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</si>
  <si>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</si>
  <si>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</si>
  <si>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</si>
  <si>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</si>
  <si>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</si>
  <si>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</si>
  <si>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</si>
  <si>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</si>
  <si>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</si>
  <si>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</si>
  <si>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</si>
  <si>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</si>
  <si>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</si>
  <si>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</si>
  <si>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</si>
  <si>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</si>
  <si>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</si>
  <si>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</si>
  <si>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</si>
  <si>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</si>
  <si>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</si>
  <si>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</si>
  <si>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</si>
  <si>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</si>
  <si>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</si>
  <si>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</si>
  <si>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</si>
  <si>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</si>
  <si>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</si>
  <si>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</si>
  <si>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</si>
  <si>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</si>
  <si>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</si>
  <si>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</si>
  <si>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</si>
  <si>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</si>
  <si>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</si>
  <si>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</si>
  <si>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</si>
  <si>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</si>
  <si>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</si>
  <si>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</si>
  <si>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</si>
  <si>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</si>
  <si>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</si>
  <si>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</si>
  <si>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</si>
  <si>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</si>
  <si>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</si>
  <si>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</si>
  <si>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</si>
  <si>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</si>
  <si>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</si>
  <si>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</si>
  <si>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</si>
  <si>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</si>
  <si>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</si>
  <si>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</si>
  <si>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</si>
  <si>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</si>
  <si>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</si>
  <si>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</si>
  <si>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</si>
  <si>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</si>
  <si>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</si>
  <si>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</si>
  <si>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</si>
  <si>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</si>
  <si>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</si>
  <si>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</si>
  <si>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</si>
  <si>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</si>
  <si>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</si>
  <si>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</si>
  <si>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</si>
  <si>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</si>
  <si>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</si>
  <si>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</si>
  <si>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</si>
  <si>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</si>
  <si>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</si>
  <si>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</si>
  <si>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</si>
  <si>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</si>
  <si>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</si>
  <si>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</si>
  <si>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</si>
  <si>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</si>
  <si>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</si>
  <si>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</si>
  <si>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</si>
  <si>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</si>
  <si>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</si>
  <si>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</si>
  <si>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</si>
  <si>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</si>
  <si>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</si>
  <si>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</si>
  <si>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</si>
  <si>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</si>
  <si>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</si>
  <si>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</si>
  <si>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</si>
  <si>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</si>
  <si>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</si>
  <si>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</si>
  <si>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</si>
  <si>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</si>
  <si>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</si>
  <si>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</si>
  <si>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</si>
  <si>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</si>
  <si>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</si>
  <si>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</si>
  <si>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</si>
  <si>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</si>
  <si>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</si>
  <si>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</si>
  <si>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</si>
  <si>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</si>
  <si>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</si>
  <si>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</si>
  <si>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</si>
  <si>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</si>
  <si>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</si>
  <si>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</si>
  <si>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</si>
  <si>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</si>
  <si>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</si>
  <si>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</si>
  <si>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</si>
  <si>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</si>
  <si>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</si>
  <si>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</si>
  <si>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</si>
  <si>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</si>
  <si>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</si>
  <si>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</si>
  <si>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</si>
  <si>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</si>
  <si>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</si>
  <si>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</si>
  <si>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</si>
  <si>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</si>
  <si>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</si>
  <si>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</si>
  <si>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</si>
  <si>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</si>
  <si>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</si>
  <si>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</si>
  <si>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</si>
  <si>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</si>
  <si>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</si>
  <si>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</si>
  <si>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</si>
  <si>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</si>
  <si>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</si>
  <si>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</si>
  <si>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</si>
  <si>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</si>
  <si>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</si>
  <si>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</si>
  <si>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</si>
  <si>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</si>
  <si>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</si>
  <si>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</si>
  <si>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</si>
  <si>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</si>
  <si>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</si>
  <si>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</si>
  <si>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</si>
  <si>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</si>
  <si>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</si>
  <si>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</si>
  <si>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</si>
  <si>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</si>
  <si>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</si>
  <si>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</si>
  <si>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</si>
  <si>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</si>
  <si>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</si>
  <si>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</si>
  <si>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</si>
  <si>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</si>
  <si>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</si>
  <si>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</si>
  <si>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</si>
  <si>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</si>
  <si>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</si>
  <si>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</si>
  <si>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</si>
  <si>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</si>
  <si>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</si>
  <si>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</si>
  <si>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</si>
  <si>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</si>
  <si>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</si>
  <si>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</si>
  <si>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</si>
  <si>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</si>
  <si>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</si>
  <si>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</si>
  <si>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</si>
  <si>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</si>
  <si>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</si>
  <si>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</si>
  <si>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</si>
  <si>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</si>
  <si>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</si>
  <si>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</si>
  <si>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</si>
  <si>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</si>
  <si>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</si>
  <si>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</si>
  <si>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</si>
  <si>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</si>
  <si>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</si>
  <si>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</si>
  <si>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</si>
  <si>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</si>
  <si>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</si>
  <si>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</si>
  <si>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</si>
  <si>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</si>
  <si>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</si>
  <si>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</si>
  <si>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</si>
  <si>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</si>
  <si>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</si>
  <si>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</si>
  <si>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</si>
  <si>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</si>
  <si>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</si>
  <si>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</si>
  <si>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</si>
  <si>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</si>
  <si>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</si>
  <si>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</si>
  <si>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</si>
  <si>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</si>
  <si>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</si>
  <si>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</si>
  <si>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</si>
  <si>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</si>
  <si>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</si>
  <si>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</si>
  <si>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</si>
  <si>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</si>
  <si>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</si>
  <si>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</si>
  <si>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</si>
  <si>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</si>
  <si>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</si>
  <si>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</si>
  <si>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Humana Insurance Company of Kentucky, Inc. </t>
  </si>
  <si>
    <t>HUMANA GRP</t>
  </si>
  <si>
    <t>Humana</t>
  </si>
  <si>
    <t>119</t>
  </si>
  <si>
    <t>2015</t>
  </si>
  <si>
    <t>500 West Main Street Louisville, KY 40202</t>
  </si>
  <si>
    <t>611311685</t>
  </si>
  <si>
    <t>060219</t>
  </si>
  <si>
    <t>60219</t>
  </si>
  <si>
    <t>218</t>
  </si>
  <si>
    <t>Humana Health Plan of Ohio, Inc.</t>
  </si>
  <si>
    <t>Humana Health Plan, Inc.</t>
  </si>
  <si>
    <t>Humana Insurance Company</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</si>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</sst>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157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18750.919999999998</v>
      </c>
      <c r="E5" s="213">
        <f>SUM('Pt 2 Premium and Claims'!E$5,'Pt 2 Premium and Claims'!E$6,-'Pt 2 Premium and Claims'!E$7,-'Pt 2 Premium and Claims'!E$13,'Pt 2 Premium and Claims'!E$14:'Pt 2 Premium and Claims'!E$17)</f>
        <v>18750.919999999998</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30332.27</v>
      </c>
      <c r="K5" s="213">
        <f>SUM('Pt 2 Premium and Claims'!K$5,'Pt 2 Premium and Claims'!K$6,-'Pt 2 Premium and Claims'!K$7,-'Pt 2 Premium and Claims'!K$13,'Pt 2 Premium and Claims'!K$14,'Pt 2 Premium and Claims'!K$16:'Pt 2 Premium and Claims'!K$17)</f>
        <v>30332.27</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550789.64</v>
      </c>
      <c r="Q5" s="213">
        <f>SUM('Pt 2 Premium and Claims'!Q$5,'Pt 2 Premium and Claims'!Q$6,-'Pt 2 Premium and Claims'!Q$7,-'Pt 2 Premium and Claims'!Q$13,'Pt 2 Premium and Claims'!Q$14)</f>
        <v>550789.64</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1136.6599999999999</v>
      </c>
      <c r="E12" s="213">
        <f>'Pt 2 Premium and Claims'!E$54</f>
        <v>1136.6599999999999</v>
      </c>
      <c r="F12" s="213">
        <f>'Pt 2 Premium and Claims'!F$54</f>
        <v>0</v>
      </c>
      <c r="G12" s="213">
        <f>'Pt 2 Premium and Claims'!G$54</f>
        <v>0</v>
      </c>
      <c r="H12" s="213">
        <f>'Pt 2 Premium and Claims'!H$54</f>
        <v>0</v>
      </c>
      <c r="I12" s="212">
        <f>'Pt 2 Premium and Claims'!I$54</f>
        <v>0</v>
      </c>
      <c r="J12" s="212">
        <f>'Pt 2 Premium and Claims'!J$54</f>
        <v>22224.329999999998</v>
      </c>
      <c r="K12" s="213">
        <f>'Pt 2 Premium and Claims'!K$54</f>
        <v>22224.329999999998</v>
      </c>
      <c r="L12" s="213">
        <f>'Pt 2 Premium and Claims'!L$54</f>
        <v>0</v>
      </c>
      <c r="M12" s="213">
        <f>'Pt 2 Premium and Claims'!M$54</f>
        <v>0</v>
      </c>
      <c r="N12" s="213">
        <f>'Pt 2 Premium and Claims'!N$54</f>
        <v>0</v>
      </c>
      <c r="O12" s="212">
        <f>'Pt 2 Premium and Claims'!O$54</f>
        <v>0</v>
      </c>
      <c r="P12" s="212">
        <f>'Pt 2 Premium and Claims'!P$54</f>
        <v>383040.89</v>
      </c>
      <c r="Q12" s="213">
        <f>'Pt 2 Premium and Claims'!Q$54</f>
        <v>383040.89</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0</v>
      </c>
      <c r="AV12" s="291"/>
      <c r="AW12" s="296"/>
    </row>
    <row r="13" spans="1:49" ht="25.5" x14ac:dyDescent="0.2">
      <c r="B13" s="239" t="s">
        <v>230</v>
      </c>
      <c r="C13" s="203" t="s">
        <v>37</v>
      </c>
      <c r="D13" s="216">
        <v>5.04</v>
      </c>
      <c r="E13" s="217">
        <v>5.04</v>
      </c>
      <c r="F13" s="217"/>
      <c r="G13" s="268"/>
      <c r="H13" s="269"/>
      <c r="I13" s="216"/>
      <c r="J13" s="216">
        <v>14775.01</v>
      </c>
      <c r="K13" s="217">
        <v>14775.01</v>
      </c>
      <c r="L13" s="217"/>
      <c r="M13" s="268"/>
      <c r="N13" s="269"/>
      <c r="O13" s="216"/>
      <c r="P13" s="216">
        <v>38049.39</v>
      </c>
      <c r="Q13" s="217">
        <v>38049.39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0</v>
      </c>
      <c r="E14" s="217">
        <v>0</v>
      </c>
      <c r="F14" s="217"/>
      <c r="G14" s="267"/>
      <c r="H14" s="270"/>
      <c r="I14" s="216"/>
      <c r="J14" s="216">
        <v>3374.05</v>
      </c>
      <c r="K14" s="217">
        <v>3374.05</v>
      </c>
      <c r="L14" s="217"/>
      <c r="M14" s="267"/>
      <c r="N14" s="270"/>
      <c r="O14" s="216"/>
      <c r="P14" s="216">
        <v>8304.07</v>
      </c>
      <c r="Q14" s="217">
        <v>8304.07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0.38</v>
      </c>
      <c r="E15" s="217">
        <v>0.38</v>
      </c>
      <c r="F15" s="217"/>
      <c r="G15" s="267"/>
      <c r="H15" s="273"/>
      <c r="I15" s="216"/>
      <c r="J15" s="216">
        <v>2.5299999999999998</v>
      </c>
      <c r="K15" s="217">
        <v>2.5299999999999998</v>
      </c>
      <c r="L15" s="217"/>
      <c r="M15" s="267"/>
      <c r="N15" s="273"/>
      <c r="O15" s="216"/>
      <c r="P15" s="216">
        <v>22.89</v>
      </c>
      <c r="Q15" s="217">
        <v>22.89</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68.260000000000005</v>
      </c>
      <c r="K22" s="222">
        <f>'Pt 2 Premium and Claims'!K$55</f>
        <v>68.260000000000005</v>
      </c>
      <c r="L22" s="222">
        <f>'Pt 2 Premium and Claims'!L$55</f>
        <v>0</v>
      </c>
      <c r="M22" s="222">
        <f>'Pt 2 Premium and Claims'!M$55</f>
        <v>0</v>
      </c>
      <c r="N22" s="222">
        <f>'Pt 2 Premium and Claims'!N$55</f>
        <v>0</v>
      </c>
      <c r="O22" s="221">
        <f>'Pt 2 Premium and Claims'!O$55</f>
        <v>0</v>
      </c>
      <c r="P22" s="221">
        <f>'Pt 2 Premium and Claims'!P$55</f>
        <v>388.25</v>
      </c>
      <c r="Q22" s="222">
        <f>'Pt 2 Premium and Claims'!Q$55</f>
        <v>388.25</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10288.370000000001</v>
      </c>
      <c r="E25" s="217">
        <v>10288.370000000001</v>
      </c>
      <c r="F25" s="217"/>
      <c r="G25" s="217"/>
      <c r="H25" s="217"/>
      <c r="I25" s="216"/>
      <c r="J25" s="216">
        <v>-53560.07</v>
      </c>
      <c r="K25" s="217">
        <v>-54042.47</v>
      </c>
      <c r="L25" s="217"/>
      <c r="M25" s="217"/>
      <c r="N25" s="217"/>
      <c r="O25" s="216"/>
      <c r="P25" s="216">
        <v>-401950.41</v>
      </c>
      <c r="Q25" s="217">
        <v>-401468.01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-931355.95</v>
      </c>
      <c r="AU25" s="220"/>
      <c r="AV25" s="220"/>
      <c r="AW25" s="297"/>
    </row>
    <row r="26" spans="1:49" s="5" customFormat="1" x14ac:dyDescent="0.2">
      <c r="A26" s="35"/>
      <c r="B26" s="242" t="s">
        <v>242</v>
      </c>
      <c r="C26" s="203"/>
      <c r="D26" s="216">
        <v>3.27</v>
      </c>
      <c r="E26" s="217">
        <v>3.27</v>
      </c>
      <c r="F26" s="217"/>
      <c r="G26" s="217"/>
      <c r="H26" s="217"/>
      <c r="I26" s="216"/>
      <c r="J26" s="216">
        <v>20.9</v>
      </c>
      <c r="K26" s="217">
        <v>20.9</v>
      </c>
      <c r="L26" s="217"/>
      <c r="M26" s="217"/>
      <c r="N26" s="217"/>
      <c r="O26" s="216"/>
      <c r="P26" s="216">
        <v>213.08</v>
      </c>
      <c r="Q26" s="217">
        <v>213.08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8605.9500000000007</v>
      </c>
      <c r="E27" s="217">
        <v>8605.9500000000007</v>
      </c>
      <c r="F27" s="217"/>
      <c r="G27" s="217"/>
      <c r="H27" s="217"/>
      <c r="I27" s="216"/>
      <c r="J27" s="216">
        <v>59082.53</v>
      </c>
      <c r="K27" s="217">
        <v>59082.53</v>
      </c>
      <c r="L27" s="217"/>
      <c r="M27" s="217"/>
      <c r="N27" s="217"/>
      <c r="O27" s="216"/>
      <c r="P27" s="216">
        <v>301720.34999999998</v>
      </c>
      <c r="Q27" s="217">
        <v>301720.34999999998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31929.88</v>
      </c>
      <c r="AU27" s="220"/>
      <c r="AV27" s="293"/>
      <c r="AW27" s="297"/>
    </row>
    <row r="28" spans="1:49" s="5" customFormat="1" x14ac:dyDescent="0.2">
      <c r="A28" s="35"/>
      <c r="B28" s="242" t="s">
        <v>244</v>
      </c>
      <c r="C28" s="203"/>
      <c r="D28" s="216">
        <v>10.7</v>
      </c>
      <c r="E28" s="217">
        <v>10.7</v>
      </c>
      <c r="F28" s="217"/>
      <c r="G28" s="217"/>
      <c r="H28" s="217"/>
      <c r="I28" s="216"/>
      <c r="J28" s="216">
        <v>105.58</v>
      </c>
      <c r="K28" s="217">
        <v>105.58</v>
      </c>
      <c r="L28" s="217"/>
      <c r="M28" s="217"/>
      <c r="N28" s="217"/>
      <c r="O28" s="216"/>
      <c r="P28" s="216">
        <v>881.79</v>
      </c>
      <c r="Q28" s="217">
        <v>881.79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37835.14</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1052.31</v>
      </c>
      <c r="E30" s="217">
        <v>1052.31</v>
      </c>
      <c r="F30" s="217"/>
      <c r="G30" s="217"/>
      <c r="H30" s="217"/>
      <c r="I30" s="216"/>
      <c r="J30" s="216">
        <v>-5455.99</v>
      </c>
      <c r="K30" s="217">
        <v>-5505.27</v>
      </c>
      <c r="L30" s="217"/>
      <c r="M30" s="217"/>
      <c r="N30" s="217"/>
      <c r="O30" s="216"/>
      <c r="P30" s="216">
        <v>-40955.120000000003</v>
      </c>
      <c r="Q30" s="217">
        <v>-40905.839999999997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-90794.06</v>
      </c>
      <c r="AU30" s="220"/>
      <c r="AV30" s="220"/>
      <c r="AW30" s="297"/>
    </row>
    <row r="31" spans="1:49" x14ac:dyDescent="0.2">
      <c r="B31" s="242" t="s">
        <v>247</v>
      </c>
      <c r="C31" s="203"/>
      <c r="D31" s="216">
        <v>182.14</v>
      </c>
      <c r="E31" s="217">
        <v>182.14</v>
      </c>
      <c r="F31" s="217"/>
      <c r="G31" s="217"/>
      <c r="H31" s="217"/>
      <c r="I31" s="216"/>
      <c r="J31" s="216">
        <v>907.93</v>
      </c>
      <c r="K31" s="217">
        <v>907.93</v>
      </c>
      <c r="L31" s="217"/>
      <c r="M31" s="217"/>
      <c r="N31" s="217"/>
      <c r="O31" s="216"/>
      <c r="P31" s="216">
        <v>7002.01</v>
      </c>
      <c r="Q31" s="217">
        <v>7002.01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420997.8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46.91</v>
      </c>
      <c r="E34" s="217">
        <v>46.91</v>
      </c>
      <c r="F34" s="217"/>
      <c r="G34" s="217"/>
      <c r="H34" s="217"/>
      <c r="I34" s="216"/>
      <c r="J34" s="216">
        <v>145.63999999999999</v>
      </c>
      <c r="K34" s="217">
        <v>145.63999999999999</v>
      </c>
      <c r="L34" s="217"/>
      <c r="M34" s="217"/>
      <c r="N34" s="217"/>
      <c r="O34" s="216"/>
      <c r="P34" s="216">
        <v>3008.89</v>
      </c>
      <c r="Q34" s="217">
        <v>3008.89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3.64</v>
      </c>
      <c r="E35" s="217">
        <v>3.64</v>
      </c>
      <c r="F35" s="217"/>
      <c r="G35" s="217"/>
      <c r="H35" s="217"/>
      <c r="I35" s="216"/>
      <c r="J35" s="216">
        <v>34.130000000000003</v>
      </c>
      <c r="K35" s="217">
        <v>34.130000000000003</v>
      </c>
      <c r="L35" s="217"/>
      <c r="M35" s="217"/>
      <c r="N35" s="217"/>
      <c r="O35" s="216"/>
      <c r="P35" s="216">
        <v>289.73</v>
      </c>
      <c r="Q35" s="217">
        <v>289.73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12672.07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8.5399999999999991</v>
      </c>
      <c r="E37" s="225">
        <v>8.5399999999999991</v>
      </c>
      <c r="F37" s="225"/>
      <c r="G37" s="225"/>
      <c r="H37" s="225"/>
      <c r="I37" s="224"/>
      <c r="J37" s="224">
        <v>81.41</v>
      </c>
      <c r="K37" s="225">
        <v>81.41</v>
      </c>
      <c r="L37" s="225"/>
      <c r="M37" s="225"/>
      <c r="N37" s="225"/>
      <c r="O37" s="224"/>
      <c r="P37" s="224">
        <v>796.92</v>
      </c>
      <c r="Q37" s="225">
        <v>796.92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0.53</v>
      </c>
      <c r="E38" s="217">
        <v>0.53</v>
      </c>
      <c r="F38" s="217"/>
      <c r="G38" s="217"/>
      <c r="H38" s="217"/>
      <c r="I38" s="216"/>
      <c r="J38" s="216">
        <v>9.11</v>
      </c>
      <c r="K38" s="217">
        <v>9.11</v>
      </c>
      <c r="L38" s="217"/>
      <c r="M38" s="217"/>
      <c r="N38" s="217"/>
      <c r="O38" s="216"/>
      <c r="P38" s="216">
        <v>167.63</v>
      </c>
      <c r="Q38" s="217">
        <v>167.63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1.28</v>
      </c>
      <c r="E39" s="217">
        <v>1.28</v>
      </c>
      <c r="F39" s="217"/>
      <c r="G39" s="217"/>
      <c r="H39" s="217"/>
      <c r="I39" s="216"/>
      <c r="J39" s="216">
        <v>63.44</v>
      </c>
      <c r="K39" s="217">
        <v>63.44</v>
      </c>
      <c r="L39" s="217"/>
      <c r="M39" s="217"/>
      <c r="N39" s="217"/>
      <c r="O39" s="216"/>
      <c r="P39" s="216">
        <v>378.85</v>
      </c>
      <c r="Q39" s="217">
        <v>378.85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70.459999999999994</v>
      </c>
      <c r="E40" s="217">
        <v>70.459999999999994</v>
      </c>
      <c r="F40" s="217"/>
      <c r="G40" s="217"/>
      <c r="H40" s="217"/>
      <c r="I40" s="216"/>
      <c r="J40" s="216">
        <v>122.49</v>
      </c>
      <c r="K40" s="217">
        <v>122.49</v>
      </c>
      <c r="L40" s="217"/>
      <c r="M40" s="217"/>
      <c r="N40" s="217"/>
      <c r="O40" s="216"/>
      <c r="P40" s="216">
        <v>26638.91</v>
      </c>
      <c r="Q40" s="217">
        <v>26638.91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4.57</v>
      </c>
      <c r="E41" s="217">
        <v>4.57</v>
      </c>
      <c r="F41" s="217"/>
      <c r="G41" s="217"/>
      <c r="H41" s="217"/>
      <c r="I41" s="216"/>
      <c r="J41" s="216">
        <v>52.67</v>
      </c>
      <c r="K41" s="217">
        <v>52.67</v>
      </c>
      <c r="L41" s="217"/>
      <c r="M41" s="217"/>
      <c r="N41" s="217"/>
      <c r="O41" s="216"/>
      <c r="P41" s="216">
        <v>514.22</v>
      </c>
      <c r="Q41" s="217">
        <v>514.22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38.57</v>
      </c>
      <c r="E44" s="225">
        <v>38.57</v>
      </c>
      <c r="F44" s="225"/>
      <c r="G44" s="225"/>
      <c r="H44" s="225"/>
      <c r="I44" s="224"/>
      <c r="J44" s="224">
        <v>598.39</v>
      </c>
      <c r="K44" s="225">
        <v>598.39</v>
      </c>
      <c r="L44" s="225"/>
      <c r="M44" s="225"/>
      <c r="N44" s="225"/>
      <c r="O44" s="224"/>
      <c r="P44" s="224">
        <v>8870.93</v>
      </c>
      <c r="Q44" s="225">
        <v>8870.93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26.56</v>
      </c>
      <c r="E45" s="217">
        <v>26.56</v>
      </c>
      <c r="F45" s="217"/>
      <c r="G45" s="217"/>
      <c r="H45" s="217"/>
      <c r="I45" s="216"/>
      <c r="J45" s="216">
        <v>449.8</v>
      </c>
      <c r="K45" s="217">
        <v>449.8</v>
      </c>
      <c r="L45" s="217"/>
      <c r="M45" s="217"/>
      <c r="N45" s="217"/>
      <c r="O45" s="216"/>
      <c r="P45" s="216">
        <v>3643.55</v>
      </c>
      <c r="Q45" s="217">
        <v>3643.55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19.920000000000002</v>
      </c>
      <c r="E46" s="217">
        <v>19.920000000000002</v>
      </c>
      <c r="F46" s="217"/>
      <c r="G46" s="217"/>
      <c r="H46" s="217"/>
      <c r="I46" s="216"/>
      <c r="J46" s="216">
        <v>185.83</v>
      </c>
      <c r="K46" s="217">
        <v>185.83</v>
      </c>
      <c r="L46" s="217"/>
      <c r="M46" s="217"/>
      <c r="N46" s="217"/>
      <c r="O46" s="216"/>
      <c r="P46" s="216">
        <v>1598.52</v>
      </c>
      <c r="Q46" s="217">
        <v>1598.52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98.13</v>
      </c>
      <c r="E47" s="217">
        <v>98.13</v>
      </c>
      <c r="F47" s="217"/>
      <c r="G47" s="217"/>
      <c r="H47" s="217"/>
      <c r="I47" s="216"/>
      <c r="J47" s="216">
        <v>36.51</v>
      </c>
      <c r="K47" s="217">
        <v>36.51</v>
      </c>
      <c r="L47" s="217"/>
      <c r="M47" s="217"/>
      <c r="N47" s="217"/>
      <c r="O47" s="216"/>
      <c r="P47" s="216">
        <v>13375.19</v>
      </c>
      <c r="Q47" s="217">
        <v>13375.19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1071.42</v>
      </c>
      <c r="E49" s="217">
        <v>1071.42</v>
      </c>
      <c r="F49" s="217"/>
      <c r="G49" s="217"/>
      <c r="H49" s="217"/>
      <c r="I49" s="216"/>
      <c r="J49" s="216">
        <v>-5337.31</v>
      </c>
      <c r="K49" s="217">
        <v>-5337.31</v>
      </c>
      <c r="L49" s="217"/>
      <c r="M49" s="217"/>
      <c r="N49" s="217"/>
      <c r="O49" s="216"/>
      <c r="P49" s="216">
        <v>-39846.22</v>
      </c>
      <c r="Q49" s="217">
        <v>-39846.22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-32361.27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343.44</v>
      </c>
      <c r="E51" s="217">
        <v>343.44</v>
      </c>
      <c r="F51" s="217"/>
      <c r="G51" s="217"/>
      <c r="H51" s="217"/>
      <c r="I51" s="216"/>
      <c r="J51" s="216">
        <v>3364.99</v>
      </c>
      <c r="K51" s="217">
        <v>3364.99</v>
      </c>
      <c r="L51" s="217"/>
      <c r="M51" s="217"/>
      <c r="N51" s="217"/>
      <c r="O51" s="216"/>
      <c r="P51" s="216">
        <v>27135.919999999998</v>
      </c>
      <c r="Q51" s="217">
        <v>27135.919999999998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4</v>
      </c>
      <c r="K56" s="229">
        <v>4</v>
      </c>
      <c r="L56" s="229"/>
      <c r="M56" s="229"/>
      <c r="N56" s="229"/>
      <c r="O56" s="228"/>
      <c r="P56" s="228">
        <v>47</v>
      </c>
      <c r="Q56" s="229">
        <v>47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v>
      </c>
      <c r="E57" s="232">
        <v>1</v>
      </c>
      <c r="F57" s="232"/>
      <c r="G57" s="232"/>
      <c r="H57" s="232"/>
      <c r="I57" s="231"/>
      <c r="J57" s="231">
        <v>9</v>
      </c>
      <c r="K57" s="232">
        <v>9</v>
      </c>
      <c r="L57" s="232"/>
      <c r="M57" s="232"/>
      <c r="N57" s="232"/>
      <c r="O57" s="231"/>
      <c r="P57" s="231">
        <v>89</v>
      </c>
      <c r="Q57" s="232">
        <v>89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v>
      </c>
      <c r="K58" s="232">
        <v>1</v>
      </c>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v>12</v>
      </c>
      <c r="F59" s="232"/>
      <c r="G59" s="232"/>
      <c r="H59" s="232"/>
      <c r="I59" s="231"/>
      <c r="J59" s="231">
        <v>108</v>
      </c>
      <c r="K59" s="232">
        <v>108</v>
      </c>
      <c r="L59" s="232"/>
      <c r="M59" s="232"/>
      <c r="N59" s="232"/>
      <c r="O59" s="231"/>
      <c r="P59" s="231">
        <v>973</v>
      </c>
      <c r="Q59" s="232">
        <v>973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 t="shared" ref="D60:AC60" si="0">D$59/12</f>
        <v>1</v>
      </c>
      <c r="E60" s="235">
        <f t="shared" si="0"/>
        <v>1</v>
      </c>
      <c r="F60" s="235">
        <f t="shared" si="0"/>
        <v>0</v>
      </c>
      <c r="G60" s="235">
        <f t="shared" si="0"/>
        <v>0</v>
      </c>
      <c r="H60" s="235">
        <f t="shared" si="0"/>
        <v>0</v>
      </c>
      <c r="I60" s="234">
        <f t="shared" si="0"/>
        <v>0</v>
      </c>
      <c r="J60" s="234">
        <f t="shared" si="0"/>
        <v>9</v>
      </c>
      <c r="K60" s="235">
        <f t="shared" si="0"/>
        <v>9</v>
      </c>
      <c r="L60" s="235">
        <f t="shared" si="0"/>
        <v>0</v>
      </c>
      <c r="M60" s="235">
        <f t="shared" si="0"/>
        <v>0</v>
      </c>
      <c r="N60" s="235">
        <f t="shared" si="0"/>
        <v>0</v>
      </c>
      <c r="O60" s="234">
        <f t="shared" si="0"/>
        <v>0</v>
      </c>
      <c r="P60" s="234">
        <f t="shared" si="0"/>
        <v>81.083333333333329</v>
      </c>
      <c r="Q60" s="235">
        <f t="shared" si="0"/>
        <v>81.083333333333329</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18750.919999999998</v>
      </c>
      <c r="E5" s="326">
        <v>18750.919999999998</v>
      </c>
      <c r="F5" s="326"/>
      <c r="G5" s="328"/>
      <c r="H5" s="328"/>
      <c r="I5" s="325"/>
      <c r="J5" s="325">
        <v>30332.27</v>
      </c>
      <c r="K5" s="326">
        <v>30332.27</v>
      </c>
      <c r="L5" s="326"/>
      <c r="M5" s="326"/>
      <c r="N5" s="326"/>
      <c r="O5" s="325"/>
      <c r="P5" s="325">
        <v>550789.64</v>
      </c>
      <c r="Q5" s="326">
        <v>550789.64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1761.23</v>
      </c>
      <c r="E23" s="362"/>
      <c r="F23" s="362"/>
      <c r="G23" s="362"/>
      <c r="H23" s="362"/>
      <c r="I23" s="364"/>
      <c r="J23" s="318">
        <v>26474.53</v>
      </c>
      <c r="K23" s="362"/>
      <c r="L23" s="362"/>
      <c r="M23" s="362"/>
      <c r="N23" s="362"/>
      <c r="O23" s="364"/>
      <c r="P23" s="318">
        <v>546289.56999999995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1761.23</v>
      </c>
      <c r="F24" s="319"/>
      <c r="G24" s="319"/>
      <c r="H24" s="319"/>
      <c r="I24" s="318"/>
      <c r="J24" s="365"/>
      <c r="K24" s="319">
        <v>26474.53</v>
      </c>
      <c r="L24" s="319"/>
      <c r="M24" s="319"/>
      <c r="N24" s="319"/>
      <c r="O24" s="318"/>
      <c r="P24" s="365"/>
      <c r="Q24" s="319">
        <v>546289.56999999995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-624.57000000000005</v>
      </c>
      <c r="E26" s="362"/>
      <c r="F26" s="362"/>
      <c r="G26" s="362"/>
      <c r="H26" s="362"/>
      <c r="I26" s="364"/>
      <c r="J26" s="318">
        <v>123.85</v>
      </c>
      <c r="K26" s="362"/>
      <c r="L26" s="362"/>
      <c r="M26" s="362"/>
      <c r="N26" s="362"/>
      <c r="O26" s="364"/>
      <c r="P26" s="318">
        <v>1100.75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-624.57000000000005</v>
      </c>
      <c r="F27" s="319"/>
      <c r="G27" s="319"/>
      <c r="H27" s="319"/>
      <c r="I27" s="318"/>
      <c r="J27" s="365"/>
      <c r="K27" s="319">
        <v>123.85</v>
      </c>
      <c r="L27" s="319"/>
      <c r="M27" s="319"/>
      <c r="N27" s="319"/>
      <c r="O27" s="318"/>
      <c r="P27" s="365"/>
      <c r="Q27" s="319">
        <v>1100.75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-1000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v>-1000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v>0</v>
      </c>
      <c r="F49" s="319"/>
      <c r="G49" s="319"/>
      <c r="H49" s="319"/>
      <c r="I49" s="318"/>
      <c r="J49" s="318">
        <v>3374.05</v>
      </c>
      <c r="K49" s="319">
        <v>3374.05</v>
      </c>
      <c r="L49" s="319"/>
      <c r="M49" s="319"/>
      <c r="N49" s="319"/>
      <c r="O49" s="318"/>
      <c r="P49" s="318">
        <v>8304.07</v>
      </c>
      <c r="Q49" s="319">
        <v>8304.07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v>0</v>
      </c>
      <c r="L53" s="319"/>
      <c r="M53" s="319"/>
      <c r="N53" s="319"/>
      <c r="O53" s="318"/>
      <c r="P53" s="318">
        <v>-156045.35999999999</v>
      </c>
      <c r="Q53" s="319">
        <v>-156045.35999999999</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D23+D26-D28+D30-D32+D34-D36+D38+D41-D43+D45+D46-D47-D49+D50+D51+D52+D53</f>
        <v>1136.6599999999999</v>
      </c>
      <c r="E54" s="323">
        <f>E24+E27+E31+E35-E36+E39+E42+E45+E46-E49+E51+E52+E53</f>
        <v>1136.6599999999999</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22224.329999999998</v>
      </c>
      <c r="K54" s="323">
        <f>K24+K27+K31+K35-K36+K39+K42+K45+K46-K49+K51+K52+K53</f>
        <v>22224.329999999998</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383040.89</v>
      </c>
      <c r="Q54" s="323">
        <f>Q24+Q27+Q31+Q35-Q36+Q39+Q42+Q45+Q46-Q49+Q51+Q52+Q53</f>
        <v>383040.89</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68.260000000000005</v>
      </c>
      <c r="K55" s="323">
        <f t="shared" si="0"/>
        <v>68.260000000000005</v>
      </c>
      <c r="L55" s="323">
        <f t="shared" si="0"/>
        <v>0</v>
      </c>
      <c r="M55" s="323">
        <f t="shared" si="0"/>
        <v>0</v>
      </c>
      <c r="N55" s="323">
        <f t="shared" si="0"/>
        <v>0</v>
      </c>
      <c r="O55" s="322">
        <f t="shared" si="0"/>
        <v>0</v>
      </c>
      <c r="P55" s="322">
        <f t="shared" si="0"/>
        <v>388.25</v>
      </c>
      <c r="Q55" s="323">
        <f t="shared" si="0"/>
        <v>388.25</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7.31</v>
      </c>
      <c r="E56" s="319">
        <v>7.31</v>
      </c>
      <c r="F56" s="319"/>
      <c r="G56" s="319"/>
      <c r="H56" s="319"/>
      <c r="I56" s="318"/>
      <c r="J56" s="318">
        <v>68.260000000000005</v>
      </c>
      <c r="K56" s="319">
        <v>68.260000000000005</v>
      </c>
      <c r="L56" s="319"/>
      <c r="M56" s="319"/>
      <c r="N56" s="319"/>
      <c r="O56" s="318"/>
      <c r="P56" s="318">
        <v>620.1</v>
      </c>
      <c r="Q56" s="319">
        <v>620.1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v>107.59</v>
      </c>
      <c r="K57" s="319">
        <v>107.59</v>
      </c>
      <c r="L57" s="319"/>
      <c r="M57" s="319"/>
      <c r="N57" s="319"/>
      <c r="O57" s="318"/>
      <c r="P57" s="318">
        <v>388.25</v>
      </c>
      <c r="Q57" s="319">
        <v>388.25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194156.42</v>
      </c>
      <c r="D5" s="403">
        <v>4345.41</v>
      </c>
      <c r="E5" s="454"/>
      <c r="F5" s="454"/>
      <c r="G5" s="448"/>
      <c r="H5" s="402">
        <v>108375.03999999999</v>
      </c>
      <c r="I5" s="403">
        <v>77891.89</v>
      </c>
      <c r="J5" s="454"/>
      <c r="K5" s="454"/>
      <c r="L5" s="448"/>
      <c r="M5" s="402">
        <v>176100.85</v>
      </c>
      <c r="N5" s="403">
        <v>40031.93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194077.5</v>
      </c>
      <c r="D6" s="398">
        <v>3965.29</v>
      </c>
      <c r="E6" s="400">
        <f>SUM('Pt 1 Summary of Data'!E$12,'Pt 1 Summary of Data'!E$22)+SUM('Pt 1 Summary of Data'!G$12,'Pt 1 Summary of Data'!G$22)-SUM('Pt 1 Summary of Data'!H$12,'Pt 1 Summary of Data'!H$22)</f>
        <v>1136.6599999999999</v>
      </c>
      <c r="F6" s="400">
        <f t="shared" ref="F6:F11" si="0">SUM(C6:E6)</f>
        <v>199179.45</v>
      </c>
      <c r="G6" s="401">
        <f>SUM('Pt 1 Summary of Data'!I$12,'Pt 1 Summary of Data'!I$22)</f>
        <v>0</v>
      </c>
      <c r="H6" s="397">
        <v>107982.11</v>
      </c>
      <c r="I6" s="398">
        <v>75816.5</v>
      </c>
      <c r="J6" s="400">
        <f>SUM('Pt 1 Summary of Data'!K$12,'Pt 1 Summary of Data'!K$22)+SUM('Pt 1 Summary of Data'!M$12,'Pt 1 Summary of Data'!M$22)-SUM('Pt 1 Summary of Data'!N$12,'Pt 1 Summary of Data'!N$22)</f>
        <v>22292.589999999997</v>
      </c>
      <c r="K6" s="400">
        <f>SUM(H6:J6)</f>
        <v>206091.19999999998</v>
      </c>
      <c r="L6" s="401">
        <f>SUM('Pt 1 Summary of Data'!O$12,'Pt 1 Summary of Data'!O$22)</f>
        <v>0</v>
      </c>
      <c r="M6" s="397">
        <v>168159.77</v>
      </c>
      <c r="N6" s="398">
        <v>38049.85</v>
      </c>
      <c r="O6" s="400">
        <f>SUM('Pt 1 Summary of Data'!Q$12,'Pt 1 Summary of Data'!Q$22)+SUM('Pt 1 Summary of Data'!S$12,'Pt 1 Summary of Data'!S$22)-SUM('Pt 1 Summary of Data'!T$12,'Pt 1 Summary of Data'!T$22)</f>
        <v>383429.14</v>
      </c>
      <c r="P6" s="400">
        <f>SUM(M6:O6)</f>
        <v>589638.76</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v>629.78</v>
      </c>
      <c r="D7" s="398">
        <v>190.92</v>
      </c>
      <c r="E7" s="400">
        <f>SUM('Pt 1 Summary of Data'!E$37:E$41)+SUM('Pt 1 Summary of Data'!G$37:G$41)-SUM('Pt 1 Summary of Data'!H$37:H$41)+MAX(0,MIN('Pt 1 Summary of Data'!E$42+'Pt 1 Summary of Data'!G$42-'Pt 1 Summary of Data'!H$42,0.3%*('Pt 1 Summary of Data'!E$5+'Pt 1 Summary of Data'!G$5-'Pt 1 Summary of Data'!H$5-SUM(E$9:E$11))))</f>
        <v>85.38</v>
      </c>
      <c r="F7" s="400">
        <f t="shared" si="0"/>
        <v>906.07999999999993</v>
      </c>
      <c r="G7" s="401">
        <f>SUM('Pt 1 Summary of Data'!I$37:I$41)+MAX(0,MIN(VALUE('Pt 1 Summary of Data'!I$42),0.3%*('Pt 1 Summary of Data'!I$5-SUM(G$9:G$10))))</f>
        <v>0</v>
      </c>
      <c r="H7" s="397">
        <v>949.89</v>
      </c>
      <c r="I7" s="398">
        <v>155.21</v>
      </c>
      <c r="J7" s="400">
        <f>SUM('Pt 1 Summary of Data'!K$37:K$41)+SUM('Pt 1 Summary of Data'!M$37:M$41)-SUM('Pt 1 Summary of Data'!N$37:N$41)+MAX(0,MIN('Pt 1 Summary of Data'!K$42+'Pt 1 Summary of Data'!M$42-'Pt 1 Summary of Data'!N$42,0.3%*('Pt 1 Summary of Data'!K$5+'Pt 1 Summary of Data'!M$5-'Pt 1 Summary of Data'!N$5-SUM(J$10:J$11))))</f>
        <v>329.12</v>
      </c>
      <c r="K7" s="400">
        <f>SUM(H7:J7)</f>
        <v>1434.2199999999998</v>
      </c>
      <c r="L7" s="401">
        <f>SUM('Pt 1 Summary of Data'!O$37:O$41)+MAX(0,MIN(VALUE('Pt 1 Summary of Data'!O$42),0.3%*('Pt 1 Summary of Data'!O$5-L$10)))</f>
        <v>0</v>
      </c>
      <c r="M7" s="397">
        <v>3253.61</v>
      </c>
      <c r="N7" s="398">
        <v>15998.32</v>
      </c>
      <c r="O7" s="400">
        <f>SUM('Pt 1 Summary of Data'!Q$37:Q$41)+SUM('Pt 1 Summary of Data'!S$37:S$41)-SUM('Pt 1 Summary of Data'!T$37:T$41)+MAX(0,MIN('Pt 1 Summary of Data'!Q$42+'Pt 1 Summary of Data'!S$42-'Pt 1 Summary of Data'!T$42,0.3%*('Pt 1 Summary of Data'!Q$5+'Pt 1 Summary of Data'!S$5-'Pt 1 Summary of Data'!T$5)))</f>
        <v>28496.530000000002</v>
      </c>
      <c r="P7" s="400">
        <f>SUM(M7:O7)</f>
        <v>47748.460000000006</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194707.28</v>
      </c>
      <c r="D12" s="400">
        <f>SUM(D$6:D$7) - SUM(D$8:D$11)+IF(AND(OR('Company Information'!$C$12="District of Columbia",'Company Information'!$C$12="Massachusetts",'Company Information'!$C$12="Vermont"),SUM($C$6:$F$11,$C$15:$F$16,$C$38:$D$38)&lt;&gt;0),SUM(I$6:I$7) - SUM(I$10:I$11),0)</f>
        <v>4156.21</v>
      </c>
      <c r="E12" s="400">
        <f>SUM(E$6:E$7)-SUM(E$8:E$11)+IF(AND(OR('Company Information'!$C$12="District of Columbia",'Company Information'!$C$12="Massachusetts",'Company Information'!$C$12="Vermont"),SUM($C$6:$F$11,$C$15:$F$16,$C$38:$D$38)&lt;&gt;0),SUM(J$6:J$7)-SUM(J$10:J$11),0)</f>
        <v>1222.04</v>
      </c>
      <c r="F12" s="400">
        <f>IFERROR(SUM(C$12:E$12)+C$17*MAX(0,E$50-C$50)+D$17*MAX(0,E$50-D$50),0)</f>
        <v>200085.53</v>
      </c>
      <c r="G12" s="447"/>
      <c r="H12" s="399">
        <f>SUM(H$6:H$7)+IF(AND(OR('Company Information'!$C$12="District of Columbia",'Company Information'!$C$12="Massachusetts",'Company Information'!$C$12="Vermont"),SUM($H$6:$K$11,$H$15:$K$16,$H$38:$I$38)&lt;&gt;0),SUM(C$6:C$7),0)</f>
        <v>108932</v>
      </c>
      <c r="I12" s="400">
        <f>SUM(I$6:I$7) - SUM(I$10:I$11)+IF(AND(OR('Company Information'!$C$12="District of Columbia",'Company Information'!$C$12="Massachusetts",'Company Information'!$C$12="Vermont"),SUM($H$6:$K$11,$H$15:$K$16,$H$38:$I$38)&lt;&gt;0),SUM(D$6:D$7) - SUM(D$8:D$11),0)</f>
        <v>75971.710000000006</v>
      </c>
      <c r="J12" s="400">
        <f>SUM(J$6:J$7)-SUM(J$10:J$11)+IF(AND(OR('Company Information'!$C$12="District of Columbia",'Company Information'!$C$12="Massachusetts",'Company Information'!$C$12="Vermont"),SUM($H$6:$K$11,$H$15:$K$16,$H$38:$I$38)&lt;&gt;0),SUM(E$6:E$7)-SUM(E$8:E$11),0)</f>
        <v>22621.709999999995</v>
      </c>
      <c r="K12" s="400">
        <f>IFERROR(SUM(H$12:J$12)+H$17*MAX(0,J$50-H$50)+I$17*MAX(0,J$50-I$50),0)</f>
        <v>207525.42</v>
      </c>
      <c r="L12" s="447"/>
      <c r="M12" s="399">
        <f>SUM(M$6:M$7)</f>
        <v>171413.37999999998</v>
      </c>
      <c r="N12" s="400">
        <f>SUM(N$6:N$7)</f>
        <v>54048.17</v>
      </c>
      <c r="O12" s="400">
        <f>SUM(O$6:O$7)</f>
        <v>411925.67000000004</v>
      </c>
      <c r="P12" s="400">
        <f>SUM(M$12:O$12)+M$17*MAX(0,O$50-M$50)+N$17*MAX(0,O$50-N$50)</f>
        <v>637387.22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119822.39</v>
      </c>
      <c r="D15" s="403">
        <v>-1058.25</v>
      </c>
      <c r="E15" s="395">
        <f>SUM('Pt 1 Summary of Data'!E$5:E$7)+SUM('Pt 1 Summary of Data'!G$5:G$7)-SUM('Pt 1 Summary of Data'!H$5:H$7)-SUM(E$9:E$11)</f>
        <v>18750.919999999998</v>
      </c>
      <c r="F15" s="395">
        <f>SUM(C15:E15)</f>
        <v>137515.06</v>
      </c>
      <c r="G15" s="396">
        <f>SUM('Pt 1 Summary of Data'!I$5:I$7)-SUM(G$9:G$10)</f>
        <v>0</v>
      </c>
      <c r="H15" s="402">
        <v>179762.81</v>
      </c>
      <c r="I15" s="403">
        <v>-35055.18</v>
      </c>
      <c r="J15" s="395">
        <f>SUM('Pt 1 Summary of Data'!K$5:K$7)+SUM('Pt 1 Summary of Data'!M$5:M$7)-SUM('Pt 1 Summary of Data'!N$5:N$7)-SUM(J$10:J$11)</f>
        <v>30332.27</v>
      </c>
      <c r="K15" s="395">
        <f>SUM(H15:J15)</f>
        <v>175039.9</v>
      </c>
      <c r="L15" s="396">
        <f>SUM('Pt 1 Summary of Data'!O$5:O$7)-L$10</f>
        <v>0</v>
      </c>
      <c r="M15" s="402">
        <v>1312.75</v>
      </c>
      <c r="N15" s="403">
        <v>-226998.35</v>
      </c>
      <c r="O15" s="395">
        <f>SUM('Pt 1 Summary of Data'!Q$5:Q$7)+SUM('Pt 1 Summary of Data'!S$5:S$7)-SUM('Pt 1 Summary of Data'!T$5:T$7)+N$56</f>
        <v>550789.64</v>
      </c>
      <c r="P15" s="395">
        <f>SUM(M15:O15)</f>
        <v>325104.04000000004</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68522</v>
      </c>
      <c r="D16" s="398">
        <v>-129118.61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20193.290000000005</v>
      </c>
      <c r="F16" s="400">
        <f>SUM(C16:E16)</f>
        <v>-40403.319999999992</v>
      </c>
      <c r="G16" s="401">
        <f>SUM('Pt 1 Summary of Data'!I$25:I$28,'Pt 1 Summary of Data'!I$30,'Pt 1 Summary of Data'!I$34:I$35)+IF('Company Information'!$C$15="No",IF(MAX('Pt 1 Summary of Data'!I$31:I$32)=0,MIN('Pt 1 Summary of Data'!I$31:I$32),MAX('Pt 1 Summary of Data'!I$31:I$32)),SUM('Pt 1 Summary of Data'!I$31:I$32))</f>
        <v>0</v>
      </c>
      <c r="H16" s="397">
        <v>31304.38</v>
      </c>
      <c r="I16" s="398">
        <v>-12520.72</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748.96999999999855</v>
      </c>
      <c r="K16" s="400">
        <f>SUM(H16:J16)</f>
        <v>19532.63</v>
      </c>
      <c r="L16" s="401">
        <f>SUM('Pt 1 Summary of Data'!O$25:O$28,'Pt 1 Summary of Data'!O$30,'Pt 1 Summary of Data'!O$34:O$35)+IF('Company Information'!$C$15="No",IF(MAX('Pt 1 Summary of Data'!O$31:O$32)=0,MIN('Pt 1 Summary of Data'!O$31:O$32),MAX('Pt 1 Summary of Data'!O$31:O$32)),SUM('Pt 1 Summary of Data'!O$31:O$32))</f>
        <v>0</v>
      </c>
      <c r="M16" s="397">
        <v>-118465.60000000001</v>
      </c>
      <c r="N16" s="398">
        <v>-84438.1</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-129257.99999999999</v>
      </c>
      <c r="P16" s="400">
        <f>SUM(M16:O16)</f>
        <v>-332161.7</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51300.39</v>
      </c>
      <c r="D17" s="400">
        <f>D$15-D$16+IF(AND(OR('Company Information'!$C$12="District of Columbia",'Company Information'!$C$12="Massachusetts",'Company Information'!$C$12="Vermont"),SUM($C$6:$F$11,$C$15:$F$16,$C$38:$D$38)&lt;&gt;0),I$15-I$16,0)</f>
        <v>128060.36</v>
      </c>
      <c r="E17" s="400">
        <f>E$15-E$16+IF(AND(OR('Company Information'!$C$12="District of Columbia",'Company Information'!$C$12="Massachusetts",'Company Information'!$C$12="Vermont"),SUM($C$6:$F$11,$C$15:$F$16,$C$38:$D$38)&lt;&gt;0),J$15-J$16,0)</f>
        <v>-1442.3700000000063</v>
      </c>
      <c r="F17" s="400">
        <f>F$15-F$16+IF(AND(OR('Company Information'!$C$12="District of Columbia",'Company Information'!$C$12="Massachusetts",'Company Information'!$C$12="Vermont"),SUM($C$6:$F$11,$C$15:$F$16,$C$38:$D$38)&lt;&gt;0),K$15-K$16,0)</f>
        <v>177918.38</v>
      </c>
      <c r="G17" s="450"/>
      <c r="H17" s="399">
        <f>H$15-H$16+IF(AND(OR('Company Information'!$C$12="District of Columbia",'Company Information'!$C$12="Massachusetts",'Company Information'!$C$12="Vermont"),SUM($H$6:$K$11,$H$15:$K$16,$H$38:$I$38)&lt;&gt;0),C$15-C$16,0)</f>
        <v>148458.43</v>
      </c>
      <c r="I17" s="400">
        <f>I$15-I$16+IF(AND(OR('Company Information'!$C$12="District of Columbia",'Company Information'!$C$12="Massachusetts",'Company Information'!$C$12="Vermont"),SUM($H$6:$K$11,$H$15:$K$16,$H$38:$I$38)&lt;&gt;0),D$15-D$16,0)</f>
        <v>-22534.46</v>
      </c>
      <c r="J17" s="400">
        <f>J$15-J$16+IF(AND(OR('Company Information'!$C$12="District of Columbia",'Company Information'!$C$12="Massachusetts",'Company Information'!$C$12="Vermont"),SUM($H$6:$K$11,$H$15:$K$16,$H$38:$I$38)&lt;&gt;0),E$15-E$16,0)</f>
        <v>29583.300000000003</v>
      </c>
      <c r="K17" s="400">
        <f>K$15-K$16+IF(AND(OR('Company Information'!$C$12="District of Columbia",'Company Information'!$C$12="Massachusetts",'Company Information'!$C$12="Vermont"),SUM($H$6:$K$11,$H$15:$K$16,$H$38:$I$38)&lt;&gt;0),F$15-F$16,0)</f>
        <v>155507.26999999999</v>
      </c>
      <c r="L17" s="450"/>
      <c r="M17" s="399">
        <f>M$15-M$16</f>
        <v>119778.35</v>
      </c>
      <c r="N17" s="400">
        <f>N$15-N$16</f>
        <v>-142560.25</v>
      </c>
      <c r="O17" s="400">
        <f>O$15-O$16</f>
        <v>680047.64</v>
      </c>
      <c r="P17" s="400">
        <f>P$15-P$16</f>
        <v>657265.74</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v>
      </c>
      <c r="D38" s="405">
        <v>1.92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v>
      </c>
      <c r="F38" s="432">
        <f>SUM(C$38:E$38)+IF(AND(OR('Company Information'!$C$12="District of Columbia",'Company Information'!$C$12="Massachusetts",'Company Information'!$C$12="Vermont"),SUM($C$6:$F$11,$C$15:$F$16,$C$38:$D$38)&lt;&gt;0,SUM(C$38:D$38)&lt;&gt;SUM(H$38:I$38)),SUM(H$38:I$38),0)</f>
        <v>16.920000000000002</v>
      </c>
      <c r="G38" s="448"/>
      <c r="H38" s="404">
        <v>13</v>
      </c>
      <c r="I38" s="405">
        <v>1</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9</v>
      </c>
      <c r="K38" s="432">
        <f>SUM(H$38:J$38)+IF(AND(OR('Company Information'!$C$12="District of Columbia",'Company Information'!$C$12="Massachusetts",'Company Information'!$C$12="Vermont"),SUM($H$6:$K$11,$H$15:$K$16,$H$38:$I$38)&lt;&gt;0,SUM(H$38:I$38)&lt;&gt;SUM(C$38:D$38)),SUM(C$38:D$38),0)</f>
        <v>23</v>
      </c>
      <c r="L38" s="448"/>
      <c r="M38" s="404">
        <v>37</v>
      </c>
      <c r="N38" s="405">
        <v>6.42</v>
      </c>
      <c r="O38" s="432">
        <f>('Pt 1 Summary of Data'!Q$59+'Pt 1 Summary of Data'!S$59-'Pt 1 Summary of Data'!T$59)/12</f>
        <v>81.083333333333329</v>
      </c>
      <c r="P38" s="432">
        <f>SUM(M$38:O$38)</f>
        <v>124.50333333333333</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v>3194</v>
      </c>
      <c r="G40" s="447"/>
      <c r="H40" s="443"/>
      <c r="I40" s="441"/>
      <c r="J40" s="441"/>
      <c r="K40" s="398">
        <v>178</v>
      </c>
      <c r="L40" s="447"/>
      <c r="M40" s="443"/>
      <c r="N40" s="441"/>
      <c r="O40" s="441"/>
      <c r="P40" s="398">
        <v>748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1.2300688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1.6</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949.23</v>
      </c>
      <c r="I56" s="441"/>
      <c r="J56" s="441"/>
      <c r="K56" s="441"/>
      <c r="L56" s="447"/>
      <c r="M56" s="397">
        <v>442.66</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122.62</v>
      </c>
      <c r="I57" s="441"/>
      <c r="J57" s="441"/>
      <c r="K57" s="441"/>
      <c r="L57" s="447"/>
      <c r="M57" s="397">
        <v>-277.39999999999998</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f>'Pt 1 Summary of Data'!$K$56+'Pt 1 Summary of Data'!$M$56-'Pt 1 Summary of Data'!$N$56</f>
        <v>4</v>
      </c>
      <c r="E4" s="104">
        <f>'Pt 1 Summary of Data'!$Q$56+'Pt 1 Summary of Data'!$S$56-'Pt 1 Summary of Data'!$T$56</f>
        <v>47</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t="s">
        <v>508</v>
      </c>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509</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510</v>
      </c>
      <c r="E27" s="7"/>
    </row>
    <row r="28" spans="2:5" ht="35.25" customHeight="1" x14ac:dyDescent="0.2">
      <c r="B28" s="134"/>
      <c r="C28" s="113"/>
      <c r="D28" s="137" t="s">
        <v>511</v>
      </c>
      <c r="E28" s="7"/>
    </row>
    <row r="29" spans="2:5" ht="35.25" customHeight="1" x14ac:dyDescent="0.2">
      <c r="B29" s="134"/>
      <c r="C29" s="113"/>
      <c r="D29" s="137" t="s">
        <v>512</v>
      </c>
      <c r="E29" s="7"/>
    </row>
    <row r="30" spans="2:5" ht="35.25" customHeight="1" x14ac:dyDescent="0.2">
      <c r="B30" s="134"/>
      <c r="C30" s="113"/>
      <c r="D30" s="137" t="s">
        <v>513</v>
      </c>
      <c r="E30" s="7"/>
    </row>
    <row r="31" spans="2:5" ht="35.25" customHeight="1" x14ac:dyDescent="0.2">
      <c r="B31" s="134"/>
      <c r="C31" s="113"/>
      <c r="D31" s="137" t="s">
        <v>514</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515</v>
      </c>
      <c r="E34" s="7"/>
    </row>
    <row r="35" spans="2:5" ht="35.25" customHeight="1" x14ac:dyDescent="0.2">
      <c r="B35" s="134"/>
      <c r="C35" s="113"/>
      <c r="D35" s="137" t="s">
        <v>516</v>
      </c>
      <c r="E35" s="7"/>
    </row>
    <row r="36" spans="2:5" ht="35.25" customHeight="1" x14ac:dyDescent="0.2">
      <c r="B36" s="134"/>
      <c r="C36" s="113"/>
      <c r="D36" s="137" t="s">
        <v>517</v>
      </c>
      <c r="E36" s="7"/>
    </row>
    <row r="37" spans="2:5" ht="35.25" customHeight="1" x14ac:dyDescent="0.2">
      <c r="B37" s="134"/>
      <c r="C37" s="113"/>
      <c r="D37" s="137" t="s">
        <v>518</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520</v>
      </c>
      <c r="E48" s="7"/>
    </row>
    <row r="49" spans="2:5" ht="35.25" customHeight="1" x14ac:dyDescent="0.2">
      <c r="B49" s="134"/>
      <c r="C49" s="113"/>
      <c r="D49" s="137" t="s">
        <v>521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522</v>
      </c>
      <c r="E56" s="7"/>
    </row>
    <row r="57" spans="2:5" ht="35.25" customHeight="1" x14ac:dyDescent="0.2">
      <c r="B57" s="134"/>
      <c r="C57" s="115"/>
      <c r="D57" s="137" t="s">
        <v>523</v>
      </c>
      <c r="E57" s="7"/>
    </row>
    <row r="58" spans="2:5" ht="35.25" customHeight="1" x14ac:dyDescent="0.2">
      <c r="B58" s="134"/>
      <c r="C58" s="115"/>
      <c r="D58" s="137" t="s">
        <v>524</v>
      </c>
      <c r="E58" s="7"/>
    </row>
    <row r="59" spans="2:5" ht="35.25" customHeight="1" x14ac:dyDescent="0.2">
      <c r="B59" s="134"/>
      <c r="C59" s="115"/>
      <c r="D59" s="137" t="s">
        <v>525</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522</v>
      </c>
      <c r="E67" s="7"/>
    </row>
    <row r="68" spans="2:5" ht="35.25" customHeight="1" x14ac:dyDescent="0.2">
      <c r="B68" s="134"/>
      <c r="C68" s="115"/>
      <c r="D68" s="137" t="s">
        <v>523</v>
      </c>
      <c r="E68" s="7"/>
    </row>
    <row r="69" spans="2:5" ht="35.25" customHeight="1" x14ac:dyDescent="0.2">
      <c r="B69" s="134"/>
      <c r="C69" s="115"/>
      <c r="D69" s="137" t="s">
        <v>524</v>
      </c>
      <c r="E69" s="7"/>
    </row>
    <row r="70" spans="2:5" ht="35.25" customHeight="1" x14ac:dyDescent="0.2">
      <c r="B70" s="134"/>
      <c r="C70" s="115"/>
      <c r="D70" s="137" t="s">
        <v>525</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522</v>
      </c>
      <c r="E78" s="7"/>
    </row>
    <row r="79" spans="2:5" ht="35.25" customHeight="1" x14ac:dyDescent="0.2">
      <c r="B79" s="134"/>
      <c r="C79" s="115"/>
      <c r="D79" s="137" t="s">
        <v>523</v>
      </c>
      <c r="E79" s="7"/>
    </row>
    <row r="80" spans="2:5" ht="35.25" customHeight="1" x14ac:dyDescent="0.2">
      <c r="B80" s="134"/>
      <c r="C80" s="115"/>
      <c r="D80" s="137" t="s">
        <v>524</v>
      </c>
      <c r="E80" s="7"/>
    </row>
    <row r="81" spans="2:5" ht="35.25" customHeight="1" x14ac:dyDescent="0.2">
      <c r="B81" s="134"/>
      <c r="C81" s="115"/>
      <c r="D81" s="137" t="s">
        <v>525</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522</v>
      </c>
      <c r="E89" s="7"/>
    </row>
    <row r="90" spans="2:5" ht="35.25" customHeight="1" x14ac:dyDescent="0.2">
      <c r="B90" s="134"/>
      <c r="C90" s="115"/>
      <c r="D90" s="137" t="s">
        <v>523</v>
      </c>
      <c r="E90" s="7"/>
    </row>
    <row r="91" spans="2:5" ht="35.25" customHeight="1" x14ac:dyDescent="0.2">
      <c r="B91" s="134"/>
      <c r="C91" s="115"/>
      <c r="D91" s="137" t="s">
        <v>524</v>
      </c>
      <c r="E91" s="7"/>
    </row>
    <row r="92" spans="2:5" ht="35.25" customHeight="1" x14ac:dyDescent="0.2">
      <c r="B92" s="134"/>
      <c r="C92" s="115"/>
      <c r="D92" s="137" t="s">
        <v>525</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526</v>
      </c>
      <c r="E100" s="7"/>
    </row>
    <row r="101" spans="2:5" ht="35.25" customHeight="1" x14ac:dyDescent="0.2">
      <c r="B101" s="134"/>
      <c r="C101" s="115"/>
      <c r="D101" s="137" t="s">
        <v>527</v>
      </c>
      <c r="E101" s="7"/>
    </row>
    <row r="102" spans="2:5" ht="35.25" customHeight="1" x14ac:dyDescent="0.2">
      <c r="B102" s="134"/>
      <c r="C102" s="115"/>
      <c r="D102" s="137" t="s">
        <v>528</v>
      </c>
      <c r="E102" s="7"/>
    </row>
    <row r="103" spans="2:5" ht="35.25" customHeight="1" x14ac:dyDescent="0.2">
      <c r="B103" s="134"/>
      <c r="C103" s="115"/>
      <c r="D103" s="137" t="s">
        <v>529</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522</v>
      </c>
      <c r="E111" s="27"/>
    </row>
    <row r="112" spans="2:5" s="5" customFormat="1" ht="35.25" customHeight="1" x14ac:dyDescent="0.2">
      <c r="B112" s="134"/>
      <c r="C112" s="115"/>
      <c r="D112" s="137" t="s">
        <v>523</v>
      </c>
      <c r="E112" s="27"/>
    </row>
    <row r="113" spans="2:5" s="5" customFormat="1" ht="35.25" customHeight="1" x14ac:dyDescent="0.2">
      <c r="B113" s="134"/>
      <c r="C113" s="115"/>
      <c r="D113" s="137" t="s">
        <v>524</v>
      </c>
      <c r="E113" s="27"/>
    </row>
    <row r="114" spans="2:5" s="5" customFormat="1" ht="35.25" customHeight="1" x14ac:dyDescent="0.2">
      <c r="B114" s="134"/>
      <c r="C114" s="115"/>
      <c r="D114" s="137" t="s">
        <v>525</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522</v>
      </c>
      <c r="E123" s="7"/>
    </row>
    <row r="124" spans="2:5" s="5" customFormat="1" ht="35.25" customHeight="1" x14ac:dyDescent="0.2">
      <c r="B124" s="134"/>
      <c r="C124" s="113"/>
      <c r="D124" s="137" t="s">
        <v>523</v>
      </c>
      <c r="E124" s="27"/>
    </row>
    <row r="125" spans="2:5" s="5" customFormat="1" ht="35.25" customHeight="1" x14ac:dyDescent="0.2">
      <c r="B125" s="134"/>
      <c r="C125" s="113"/>
      <c r="D125" s="137" t="s">
        <v>524</v>
      </c>
      <c r="E125" s="27"/>
    </row>
    <row r="126" spans="2:5" s="5" customFormat="1" ht="35.25" customHeight="1" x14ac:dyDescent="0.2">
      <c r="B126" s="134"/>
      <c r="C126" s="113"/>
      <c r="D126" s="137" t="s">
        <v>525</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522</v>
      </c>
      <c r="E134" s="27"/>
    </row>
    <row r="135" spans="2:5" s="5" customFormat="1" ht="35.25" customHeight="1" x14ac:dyDescent="0.2">
      <c r="B135" s="134"/>
      <c r="C135" s="113"/>
      <c r="D135" s="137" t="s">
        <v>523</v>
      </c>
      <c r="E135" s="27"/>
    </row>
    <row r="136" spans="2:5" s="5" customFormat="1" ht="35.25" customHeight="1" x14ac:dyDescent="0.2">
      <c r="B136" s="134"/>
      <c r="C136" s="113"/>
      <c r="D136" s="137" t="s">
        <v>524</v>
      </c>
      <c r="E136" s="27"/>
    </row>
    <row r="137" spans="2:5" s="5" customFormat="1" ht="35.25" customHeight="1" x14ac:dyDescent="0.2">
      <c r="B137" s="134"/>
      <c r="C137" s="113"/>
      <c r="D137" s="137" t="s">
        <v>525</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523</v>
      </c>
      <c r="E145" s="27"/>
    </row>
    <row r="146" spans="2:5" s="5" customFormat="1" ht="35.25" customHeight="1" x14ac:dyDescent="0.2">
      <c r="B146" s="134"/>
      <c r="C146" s="113"/>
      <c r="D146" s="137" t="s">
        <v>524</v>
      </c>
      <c r="E146" s="27"/>
    </row>
    <row r="147" spans="2:5" s="5" customFormat="1" ht="35.25" customHeight="1" x14ac:dyDescent="0.2">
      <c r="B147" s="134"/>
      <c r="C147" s="113"/>
      <c r="D147" s="137" t="s">
        <v>525</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523</v>
      </c>
      <c r="E167" s="27"/>
    </row>
    <row r="168" spans="2:5" s="5" customFormat="1" ht="35.25" customHeight="1" x14ac:dyDescent="0.2">
      <c r="B168" s="134"/>
      <c r="C168" s="113"/>
      <c r="D168" s="137" t="s">
        <v>524</v>
      </c>
      <c r="E168" s="27"/>
    </row>
    <row r="169" spans="2:5" s="5" customFormat="1" ht="35.25" customHeight="1" x14ac:dyDescent="0.2">
      <c r="B169" s="134"/>
      <c r="C169" s="113"/>
      <c r="D169" s="137" t="s">
        <v>525</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523</v>
      </c>
      <c r="E178" s="27"/>
    </row>
    <row r="179" spans="2:5" s="5" customFormat="1" ht="35.25" customHeight="1" x14ac:dyDescent="0.2">
      <c r="B179" s="134"/>
      <c r="C179" s="113"/>
      <c r="D179" s="137" t="s">
        <v>524</v>
      </c>
      <c r="E179" s="27"/>
    </row>
    <row r="180" spans="2:5" s="5" customFormat="1" ht="35.25" customHeight="1" x14ac:dyDescent="0.2">
      <c r="B180" s="134"/>
      <c r="C180" s="113"/>
      <c r="D180" s="137" t="s">
        <v>525</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522</v>
      </c>
      <c r="E200" s="27"/>
    </row>
    <row r="201" spans="2:5" s="5" customFormat="1" ht="35.25" customHeight="1" x14ac:dyDescent="0.2">
      <c r="B201" s="134"/>
      <c r="C201" s="113"/>
      <c r="D201" s="137" t="s">
        <v>523</v>
      </c>
      <c r="E201" s="27"/>
    </row>
    <row r="202" spans="2:5" s="5" customFormat="1" ht="35.25" customHeight="1" x14ac:dyDescent="0.2">
      <c r="B202" s="134"/>
      <c r="C202" s="113"/>
      <c r="D202" s="137" t="s">
        <v>524</v>
      </c>
      <c r="E202" s="27"/>
    </row>
    <row r="203" spans="2:5" s="5" customFormat="1" ht="35.25" customHeight="1" x14ac:dyDescent="0.2">
      <c r="B203" s="134"/>
      <c r="C203" s="113"/>
      <c r="D203" s="137" t="s">
        <v>525</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2016-07-28T11:48:48Z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