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K4" i="16"/>
  <c r="H4" i="16"/>
  <c r="G4" i="16"/>
  <c r="F4" i="16"/>
  <c r="E4" i="16"/>
  <c r="D4" i="16"/>
  <c r="C4" i="16"/>
  <c r="L58" i="10"/>
  <c r="G58" i="10"/>
  <c r="AN53" i="10"/>
  <c r="AB53" i="10"/>
  <c r="X53" i="10"/>
  <c r="T53" i="10"/>
  <c r="AN52" i="10"/>
  <c r="AB52" i="10"/>
  <c r="X52" i="10"/>
  <c r="T52" i="10"/>
  <c r="P52" i="10"/>
  <c r="AN51" i="10"/>
  <c r="AB51" i="10"/>
  <c r="X51" i="10"/>
  <c r="T51" i="10"/>
  <c r="AN48" i="10"/>
  <c r="AB48" i="10"/>
  <c r="X48" i="10"/>
  <c r="T48" i="10"/>
  <c r="AN47" i="10"/>
  <c r="AB47" i="10"/>
  <c r="X47" i="10"/>
  <c r="T47" i="10"/>
  <c r="AN46" i="10"/>
  <c r="AM46" i="10"/>
  <c r="AL46" i="10"/>
  <c r="AK46" i="10"/>
  <c r="AB46" i="10"/>
  <c r="AA46" i="10"/>
  <c r="Z46" i="10"/>
  <c r="Y46" i="10"/>
  <c r="X46" i="10"/>
  <c r="W46" i="10"/>
  <c r="V46" i="10"/>
  <c r="U46" i="10"/>
  <c r="T46" i="10"/>
  <c r="S46" i="10"/>
  <c r="R46" i="10"/>
  <c r="Q46" i="10"/>
  <c r="O45" i="10"/>
  <c r="N45" i="10"/>
  <c r="M45" i="10"/>
  <c r="AN42" i="10"/>
  <c r="AB42" i="10"/>
  <c r="X42" i="10"/>
  <c r="T42" i="10"/>
  <c r="P42" i="10"/>
  <c r="AN41" i="10"/>
  <c r="AB41" i="10"/>
  <c r="X41" i="10"/>
  <c r="T41" i="10"/>
  <c r="P41" i="10"/>
  <c r="K41" i="10"/>
  <c r="F41" i="10"/>
  <c r="AN39" i="10"/>
  <c r="AB39" i="10"/>
  <c r="X39" i="10"/>
  <c r="T39" i="10"/>
  <c r="P39" i="10"/>
  <c r="AN38" i="10"/>
  <c r="AM38" i="10"/>
  <c r="AB38" i="10"/>
  <c r="AA38" i="10"/>
  <c r="X38" i="10"/>
  <c r="W38" i="10"/>
  <c r="T38" i="10"/>
  <c r="S38" i="10"/>
  <c r="P38" i="10"/>
  <c r="O38" i="10"/>
  <c r="L32" i="10"/>
  <c r="L27" i="10"/>
  <c r="L24" i="10"/>
  <c r="L23" i="10"/>
  <c r="L22" i="10"/>
  <c r="L30" i="10" s="1"/>
  <c r="L31" i="10" s="1"/>
  <c r="L20" i="10"/>
  <c r="L19" i="10"/>
  <c r="AN17" i="10"/>
  <c r="AM17" i="10"/>
  <c r="AL17" i="10"/>
  <c r="AK17" i="10"/>
  <c r="AB17" i="10"/>
  <c r="AA17" i="10"/>
  <c r="Z17" i="10"/>
  <c r="Y17" i="10"/>
  <c r="X17" i="10"/>
  <c r="W17" i="10"/>
  <c r="V17" i="10"/>
  <c r="U17" i="10"/>
  <c r="X13" i="10" s="1"/>
  <c r="T17" i="10"/>
  <c r="S17" i="10"/>
  <c r="R17" i="10"/>
  <c r="Q17" i="10"/>
  <c r="P17" i="10"/>
  <c r="O17" i="10"/>
  <c r="N17" i="10"/>
  <c r="M17" i="10"/>
  <c r="AN16" i="10"/>
  <c r="AM16" i="10"/>
  <c r="AB16" i="10"/>
  <c r="AA16" i="10"/>
  <c r="X16" i="10"/>
  <c r="W16" i="10"/>
  <c r="V13" i="10" s="1"/>
  <c r="T16" i="10"/>
  <c r="S16" i="10"/>
  <c r="P16" i="10"/>
  <c r="O16" i="10"/>
  <c r="L16" i="10"/>
  <c r="K16" i="10"/>
  <c r="J16" i="10"/>
  <c r="G16" i="10"/>
  <c r="F16" i="10"/>
  <c r="E16" i="10"/>
  <c r="AN15" i="10"/>
  <c r="AM15" i="10"/>
  <c r="AB15" i="10"/>
  <c r="AA15" i="10"/>
  <c r="X15" i="10"/>
  <c r="W15" i="10"/>
  <c r="T15" i="10"/>
  <c r="S15" i="10"/>
  <c r="P15" i="10"/>
  <c r="O15" i="10"/>
  <c r="L15" i="10"/>
  <c r="G15" i="10"/>
  <c r="G27" i="10" s="1"/>
  <c r="AN13" i="10"/>
  <c r="AM13" i="10"/>
  <c r="AL13" i="10"/>
  <c r="AK13" i="10"/>
  <c r="AB13" i="10"/>
  <c r="AA13" i="10"/>
  <c r="Z13" i="10"/>
  <c r="Y13" i="10"/>
  <c r="W13" i="10"/>
  <c r="Q13" i="10"/>
  <c r="P12" i="10"/>
  <c r="P45" i="10" s="1"/>
  <c r="O12" i="10"/>
  <c r="N12" i="10"/>
  <c r="M12" i="10"/>
  <c r="K11" i="10"/>
  <c r="J11" i="10"/>
  <c r="F11" i="10"/>
  <c r="E11" i="10"/>
  <c r="L10" i="10"/>
  <c r="K10" i="10"/>
  <c r="J10" i="10"/>
  <c r="G10" i="10"/>
  <c r="F10" i="10"/>
  <c r="E10" i="10"/>
  <c r="G9" i="10"/>
  <c r="F9" i="10"/>
  <c r="E9" i="10"/>
  <c r="G8" i="10"/>
  <c r="F8" i="10"/>
  <c r="E8" i="10"/>
  <c r="AN7" i="10"/>
  <c r="AM7" i="10"/>
  <c r="AB7" i="10"/>
  <c r="AA7" i="10"/>
  <c r="X7" i="10"/>
  <c r="W7" i="10"/>
  <c r="T7" i="10"/>
  <c r="S7" i="10"/>
  <c r="P7" i="10"/>
  <c r="O7" i="10"/>
  <c r="L7" i="10"/>
  <c r="AN6" i="10"/>
  <c r="AM6" i="10"/>
  <c r="AB6" i="10"/>
  <c r="AA6" i="10"/>
  <c r="X6" i="10"/>
  <c r="W6" i="10"/>
  <c r="T6" i="10"/>
  <c r="S6" i="10"/>
  <c r="P6" i="10"/>
  <c r="O6" i="10"/>
  <c r="L6" i="10"/>
  <c r="K6" i="10"/>
  <c r="J6" i="10"/>
  <c r="G6" i="10"/>
  <c r="F6" i="10"/>
  <c r="E6" i="10"/>
  <c r="AU55" i="18"/>
  <c r="AT55" i="18"/>
  <c r="AT22" i="4" s="1"/>
  <c r="AS55" i="18"/>
  <c r="AS22" i="4" s="1"/>
  <c r="AR55" i="18"/>
  <c r="AR22" i="4" s="1"/>
  <c r="AQ55" i="18"/>
  <c r="AQ22" i="4" s="1"/>
  <c r="AP55" i="18"/>
  <c r="AP22" i="4" s="1"/>
  <c r="AO55" i="18"/>
  <c r="AN55" i="18"/>
  <c r="AN22" i="4" s="1"/>
  <c r="AC55" i="18"/>
  <c r="AC22" i="4" s="1"/>
  <c r="AB55" i="18"/>
  <c r="AB22" i="4" s="1"/>
  <c r="AA55" i="18"/>
  <c r="AA22" i="4" s="1"/>
  <c r="Z55" i="18"/>
  <c r="Y55" i="18"/>
  <c r="X55" i="18"/>
  <c r="X22" i="4" s="1"/>
  <c r="W55" i="18"/>
  <c r="W22" i="4" s="1"/>
  <c r="V55" i="18"/>
  <c r="U55" i="18"/>
  <c r="T55" i="18"/>
  <c r="T22" i="4" s="1"/>
  <c r="S55" i="18"/>
  <c r="S22" i="4" s="1"/>
  <c r="R55" i="18"/>
  <c r="R22" i="4" s="1"/>
  <c r="Q55" i="18"/>
  <c r="Q22" i="4" s="1"/>
  <c r="P55" i="18"/>
  <c r="P22" i="4" s="1"/>
  <c r="O55" i="18"/>
  <c r="O22" i="4" s="1"/>
  <c r="N55" i="18"/>
  <c r="N22" i="4" s="1"/>
  <c r="M55" i="18"/>
  <c r="M22" i="4" s="1"/>
  <c r="L55" i="18"/>
  <c r="K55" i="18"/>
  <c r="K22" i="4" s="1"/>
  <c r="J55" i="18"/>
  <c r="J22" i="4" s="1"/>
  <c r="I55" i="18"/>
  <c r="H55" i="18"/>
  <c r="H22" i="4" s="1"/>
  <c r="G55" i="18"/>
  <c r="G22" i="4" s="1"/>
  <c r="F55" i="18"/>
  <c r="F22" i="4" s="1"/>
  <c r="E55" i="18"/>
  <c r="E22" i="4" s="1"/>
  <c r="D55" i="18"/>
  <c r="D22" i="4" s="1"/>
  <c r="AU54" i="18"/>
  <c r="AU12" i="4" s="1"/>
  <c r="AT54" i="18"/>
  <c r="AT12" i="4" s="1"/>
  <c r="AS54" i="18"/>
  <c r="AS12" i="4" s="1"/>
  <c r="AR54" i="18"/>
  <c r="AR12" i="4" s="1"/>
  <c r="AQ54" i="18"/>
  <c r="AQ12" i="4" s="1"/>
  <c r="AP54" i="18"/>
  <c r="AP12" i="4" s="1"/>
  <c r="AO54" i="18"/>
  <c r="AO12" i="4" s="1"/>
  <c r="AN54" i="18"/>
  <c r="AN12" i="4" s="1"/>
  <c r="AC54" i="18"/>
  <c r="AB54" i="18"/>
  <c r="AB12" i="4" s="1"/>
  <c r="AA54" i="18"/>
  <c r="AA12" i="4" s="1"/>
  <c r="Z54" i="18"/>
  <c r="Z12" i="4" s="1"/>
  <c r="Y54" i="18"/>
  <c r="Y12" i="4" s="1"/>
  <c r="X54" i="18"/>
  <c r="X12" i="4" s="1"/>
  <c r="W54" i="18"/>
  <c r="V54" i="18"/>
  <c r="V12" i="4" s="1"/>
  <c r="U54" i="18"/>
  <c r="U12" i="4" s="1"/>
  <c r="T54" i="18"/>
  <c r="T12" i="4" s="1"/>
  <c r="S54" i="18"/>
  <c r="S12" i="4" s="1"/>
  <c r="R54" i="18"/>
  <c r="Q54" i="18"/>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O22" i="4"/>
  <c r="Z22" i="4"/>
  <c r="Y22" i="4"/>
  <c r="V22" i="4"/>
  <c r="U22" i="4"/>
  <c r="L22" i="4"/>
  <c r="I22" i="4"/>
  <c r="AC12" i="4"/>
  <c r="W12" i="4"/>
  <c r="R12" i="4"/>
  <c r="Q12" i="4"/>
  <c r="AU5" i="4"/>
  <c r="AT5" i="4"/>
  <c r="AS5" i="4"/>
  <c r="AR5" i="4"/>
  <c r="AQ5" i="4"/>
  <c r="AP5" i="4"/>
  <c r="AO5" i="4"/>
  <c r="AN5" i="4"/>
  <c r="AC5" i="4"/>
  <c r="AB5" i="4"/>
  <c r="AA5" i="4"/>
  <c r="Z5" i="4"/>
  <c r="Y5" i="4"/>
  <c r="X5" i="4"/>
  <c r="W5" i="4"/>
  <c r="V5" i="4"/>
  <c r="U5" i="4"/>
  <c r="T5" i="4"/>
  <c r="S5" i="4"/>
  <c r="R5" i="4"/>
  <c r="Q5" i="4"/>
  <c r="P5" i="4"/>
  <c r="O5" i="4"/>
  <c r="N5" i="4"/>
  <c r="J7" i="10" s="1"/>
  <c r="M5" i="4"/>
  <c r="L5" i="4"/>
  <c r="K5" i="4"/>
  <c r="J15" i="10" s="1"/>
  <c r="J5" i="4"/>
  <c r="I5" i="4"/>
  <c r="G7" i="10" s="1"/>
  <c r="H5" i="4"/>
  <c r="G5" i="4"/>
  <c r="F5" i="4"/>
  <c r="E5" i="4"/>
  <c r="E15" i="10" s="1"/>
  <c r="D5" i="4"/>
  <c r="K7" i="10" l="1"/>
  <c r="J38" i="10"/>
  <c r="K15" i="10"/>
  <c r="K17" i="10" s="1"/>
  <c r="F15" i="10"/>
  <c r="G19" i="10"/>
  <c r="G22" i="10" s="1"/>
  <c r="G30" i="10" s="1"/>
  <c r="G31" i="10" s="1"/>
  <c r="G20" i="10"/>
  <c r="I12" i="10"/>
  <c r="G24" i="10"/>
  <c r="G32" i="10"/>
  <c r="E7" i="10"/>
  <c r="G23" i="10"/>
  <c r="P47" i="10"/>
  <c r="P48" i="10" s="1"/>
  <c r="P51" i="10" s="1"/>
  <c r="P53" i="10" s="1"/>
  <c r="E11" i="16" s="1"/>
  <c r="L29" i="10"/>
  <c r="L33" i="10" s="1"/>
  <c r="L34" i="10" s="1"/>
  <c r="G29" i="10"/>
  <c r="G33" i="10" s="1"/>
  <c r="G34" i="10" s="1"/>
  <c r="L21" i="10"/>
  <c r="L26" i="10" s="1"/>
  <c r="L25" i="10" s="1"/>
  <c r="L28" i="10" s="1"/>
  <c r="G21" i="10"/>
  <c r="G26" i="10" s="1"/>
  <c r="G25" i="10" s="1"/>
  <c r="G28" i="10" s="1"/>
  <c r="T13" i="10"/>
  <c r="U13" i="10"/>
  <c r="R13" i="10"/>
  <c r="S13" i="10"/>
  <c r="J12" i="10"/>
  <c r="H12" i="10"/>
  <c r="K38" i="10" l="1"/>
  <c r="F7" i="10"/>
  <c r="D12" i="10"/>
  <c r="H17" i="10"/>
  <c r="H45" i="10" s="1"/>
  <c r="I17" i="10"/>
  <c r="I45" i="10" s="1"/>
  <c r="E17" i="10"/>
  <c r="J17" i="10"/>
  <c r="J45" i="10" s="1"/>
  <c r="C12" i="10" l="1"/>
  <c r="E12" i="10"/>
  <c r="K12" i="10"/>
  <c r="K45" i="10" s="1"/>
  <c r="C17" i="10"/>
  <c r="C45" i="10" s="1"/>
  <c r="K39" i="10"/>
  <c r="K52" i="10"/>
  <c r="K42" i="10"/>
  <c r="D17" i="10"/>
  <c r="D45" i="10" s="1"/>
  <c r="E38" i="10"/>
  <c r="F17" i="10"/>
  <c r="K47" i="10" l="1"/>
  <c r="K48" i="10" s="1"/>
  <c r="K51" i="10" s="1"/>
  <c r="K53" i="10" s="1"/>
  <c r="D11" i="16" s="1"/>
  <c r="E45" i="10"/>
  <c r="F38" i="10"/>
  <c r="F12" i="10"/>
  <c r="F45" i="10" l="1"/>
  <c r="F52" i="10"/>
  <c r="F42" i="10"/>
  <c r="F39" i="10"/>
  <c r="F47" i="10" l="1"/>
  <c r="F48" i="10" s="1"/>
  <c r="F51" i="10" s="1"/>
  <c r="F53" i="10" s="1"/>
  <c r="C11" i="16" s="1"/>
</calcChain>
</file>

<file path=xl/sharedStrings.xml><?xml version="1.0" encoding="utf-8"?>
<sst xmlns="http://schemas.openxmlformats.org/spreadsheetml/2006/main" count="634" uniqueCount="534">
  <si>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</si>
  <si>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</si>
  <si>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</si>
  <si>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</si>
  <si>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</si>
  <si>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</si>
  <si>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</si>
  <si>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</si>
  <si>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</si>
  <si>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</si>
  <si>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</si>
  <si>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</si>
  <si>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</si>
  <si>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</si>
  <si>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</si>
  <si>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</si>
  <si>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</si>
  <si>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</si>
  <si>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</si>
  <si>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</si>
  <si>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</si>
  <si>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</si>
  <si>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</si>
  <si>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</si>
  <si>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</si>
  <si>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</si>
  <si>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</si>
  <si>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</si>
  <si>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</si>
  <si>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</si>
  <si>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</si>
  <si>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</si>
  <si>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</si>
  <si>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</si>
  <si>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</si>
  <si>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</si>
  <si>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</si>
  <si>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</si>
  <si>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</si>
  <si>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</si>
  <si>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</si>
  <si>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</si>
  <si>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</si>
  <si>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</si>
  <si>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</si>
  <si>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</si>
  <si>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</si>
  <si>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</si>
  <si>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</si>
  <si>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</si>
  <si>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</si>
  <si>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</si>
  <si>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</si>
  <si>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</si>
  <si>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</si>
  <si>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</si>
  <si>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</si>
  <si>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</si>
  <si>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</si>
  <si>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</si>
  <si>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</si>
  <si>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</si>
  <si>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</si>
  <si>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</si>
  <si>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</si>
  <si>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</si>
  <si>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</si>
  <si>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</si>
  <si>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</si>
  <si>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</si>
  <si>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</si>
  <si>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</si>
  <si>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</si>
  <si>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</si>
  <si>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</si>
  <si>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</si>
  <si>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</si>
  <si>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</si>
  <si>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</si>
  <si>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</si>
  <si>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</si>
  <si>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</si>
  <si>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</si>
  <si>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</si>
  <si>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</si>
  <si>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</si>
  <si>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</si>
  <si>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</si>
  <si>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</si>
  <si>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</si>
  <si>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</si>
  <si>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</si>
  <si>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</si>
  <si>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</si>
  <si>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</si>
  <si>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</si>
  <si>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</si>
  <si>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</si>
  <si>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</si>
  <si>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</si>
  <si>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</si>
  <si>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</si>
  <si>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</si>
  <si>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</si>
  <si>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</si>
  <si>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</si>
  <si>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</si>
  <si>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</si>
  <si>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</si>
  <si>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</si>
  <si>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</si>
  <si>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</si>
  <si>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</si>
  <si>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</si>
  <si>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</si>
  <si>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</si>
  <si>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</si>
  <si>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</si>
  <si>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</si>
  <si>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</si>
  <si>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</si>
  <si>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</si>
  <si>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</si>
  <si>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</si>
  <si>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</si>
  <si>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</si>
  <si>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</si>
  <si>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</si>
  <si>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</si>
  <si>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</si>
  <si>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</si>
  <si>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</si>
  <si>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</si>
  <si>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</si>
  <si>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</si>
  <si>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</si>
  <si>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</si>
  <si>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</si>
  <si>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</si>
  <si>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</si>
  <si>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</si>
  <si>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</si>
  <si>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</si>
  <si>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</si>
  <si>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</si>
  <si>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</si>
  <si>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</si>
  <si>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</si>
  <si>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</si>
  <si>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</si>
  <si>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</si>
  <si>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</si>
  <si>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</si>
  <si>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</si>
  <si>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</si>
  <si>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</si>
  <si>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</si>
  <si>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</si>
  <si>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</si>
  <si>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</si>
  <si>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</si>
  <si>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</si>
  <si>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</si>
  <si>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</si>
  <si>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</si>
  <si>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</si>
  <si>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</si>
  <si>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</si>
  <si>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</si>
  <si>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</si>
  <si>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</si>
  <si>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</si>
  <si>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</si>
  <si>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</si>
  <si>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</si>
  <si>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</si>
  <si>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</si>
  <si>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</si>
  <si>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</si>
  <si>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</si>
  <si>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</si>
  <si>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</si>
  <si>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</si>
  <si>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</si>
  <si>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</si>
  <si>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</si>
  <si>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</si>
  <si>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</si>
  <si>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</si>
  <si>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</si>
  <si>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</si>
  <si>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</si>
  <si>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</si>
  <si>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</si>
  <si>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</si>
  <si>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</si>
  <si>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</si>
  <si>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</si>
  <si>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</si>
  <si>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</si>
  <si>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</si>
  <si>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</si>
  <si>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</si>
  <si>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</si>
  <si>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</si>
  <si>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</si>
  <si>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</si>
  <si>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</si>
  <si>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</si>
  <si>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</si>
  <si>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</si>
  <si>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</si>
  <si>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</si>
  <si>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</si>
  <si>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</si>
  <si>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</si>
  <si>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</si>
  <si>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</si>
  <si>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</si>
  <si>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</si>
  <si>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</si>
  <si>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</si>
  <si>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</si>
  <si>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</si>
  <si>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</si>
  <si>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</si>
  <si>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</si>
  <si>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</si>
  <si>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</si>
  <si>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</si>
  <si>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</si>
  <si>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</si>
  <si>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</si>
  <si>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</si>
  <si>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</si>
  <si>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</si>
  <si>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</si>
  <si>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</si>
  <si>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</si>
  <si>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</si>
  <si>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</si>
  <si>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</si>
  <si>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</si>
  <si>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</si>
  <si>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</si>
  <si>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</si>
  <si>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</si>
  <si>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</si>
  <si>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</si>
  <si>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</si>
  <si>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</si>
  <si>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</si>
  <si>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</si>
  <si>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</si>
  <si>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</si>
  <si>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</si>
  <si>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</si>
  <si>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</si>
  <si>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</si>
  <si>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</si>
  <si>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</si>
  <si>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</si>
  <si>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</si>
  <si>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</si>
  <si>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</si>
  <si>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</si>
  <si>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</si>
  <si>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</si>
  <si>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</si>
  <si>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</si>
  <si>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</si>
  <si>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</si>
  <si>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</si>
  <si>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</si>
  <si>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</si>
  <si>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</si>
  <si>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</si>
  <si>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</si>
  <si>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</si>
  <si>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</si>
  <si>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</si>
  <si>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</si>
  <si>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</si>
  <si>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</si>
  <si>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</si>
  <si>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</si>
  <si>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</si>
  <si>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</si>
  <si>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</si>
  <si>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</si>
  <si>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</si>
  <si>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</si>
  <si>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</si>
  <si>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</si>
  <si>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</si>
  <si>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</si>
  <si>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</si>
  <si>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</si>
  <si>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</si>
  <si>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</si>
  <si>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</si>
  <si>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</si>
  <si>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</si>
  <si>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</si>
  <si>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</si>
  <si>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</si>
  <si>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</si>
  <si>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</si>
  <si>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</si>
  <si>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</si>
  <si>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</si>
  <si>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</si>
  <si>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</si>
  <si>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</si>
  <si>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</si>
  <si>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</si>
  <si>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</si>
  <si>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</si>
  <si>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</si>
  <si>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</si>
  <si>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</si>
  <si>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</si>
  <si>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</si>
  <si>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</si>
  <si>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</si>
  <si>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</si>
  <si>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</si>
  <si>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</si>
  <si>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</si>
  <si>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</si>
  <si>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</si>
  <si>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</si>
  <si>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</si>
  <si>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</si>
  <si>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</si>
  <si>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</si>
  <si>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</si>
  <si>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</si>
  <si>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</si>
  <si>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</si>
  <si>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</si>
  <si>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</si>
  <si>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</si>
  <si>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</si>
  <si>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</si>
  <si>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</si>
  <si>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</si>
  <si>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</si>
  <si>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</si>
  <si>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</si>
  <si>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</si>
  <si>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</si>
  <si>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</si>
  <si>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</si>
  <si>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</si>
  <si>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</si>
  <si>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</si>
  <si>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</si>
  <si>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</si>
  <si>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</si>
  <si>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</si>
  <si>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</si>
  <si>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</si>
  <si>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</si>
  <si>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</si>
  <si>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</si>
  <si>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</si>
  <si>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</si>
  <si>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</si>
  <si>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</si>
  <si>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</si>
  <si>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</si>
  <si>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</si>
  <si>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</si>
  <si>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</si>
  <si>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</si>
  <si>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</si>
  <si>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</si>
  <si>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</si>
  <si>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</si>
  <si>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</si>
  <si>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</si>
  <si>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</si>
  <si>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</si>
  <si>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</si>
  <si>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</si>
  <si>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</si>
  <si>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</si>
  <si>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</si>
  <si>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</si>
  <si>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</si>
  <si>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</si>
  <si>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</si>
  <si>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</si>
  <si>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</si>
  <si>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</si>
  <si>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</si>
  <si>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</si>
  <si>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</si>
  <si>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</si>
  <si>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</si>
  <si>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</si>
  <si>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</si>
  <si>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</si>
  <si>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</si>
  <si>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</si>
  <si>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</si>
  <si>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</si>
  <si>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</si>
  <si>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</si>
  <si>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</si>
  <si>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</si>
  <si>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</si>
  <si>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</si>
  <si>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</si>
  <si>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</si>
  <si>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</si>
  <si>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</si>
  <si>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</si>
  <si>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</si>
  <si>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</si>
  <si>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</si>
  <si>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</si>
  <si>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</si>
  <si>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</si>
  <si>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</si>
  <si>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</si>
  <si>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</si>
  <si>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</si>
  <si>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</si>
  <si>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</si>
  <si>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</si>
  <si>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</si>
  <si>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</si>
  <si>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</si>
  <si>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</si>
  <si>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</si>
  <si>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</si>
  <si>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</si>
  <si>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</si>
  <si>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</si>
  <si>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</si>
  <si>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</si>
  <si>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</si>
  <si>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</si>
  <si>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</si>
  <si>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</si>
  <si>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</si>
  <si>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</si>
  <si>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</si>
  <si>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</si>
  <si>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</si>
  <si>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</si>
  <si>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</si>
  <si>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</si>
  <si>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</si>
  <si>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</si>
  <si>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</si>
  <si>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</si>
  <si>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</si>
  <si>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</si>
  <si>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</si>
  <si>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</si>
  <si>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</si>
  <si>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</si>
  <si>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</si>
  <si>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</si>
  <si>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</si>
  <si>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</si>
  <si>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</si>
  <si>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</si>
  <si>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</si>
  <si>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</si>
  <si>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</si>
  <si>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</si>
  <si>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</si>
  <si>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</si>
  <si>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</si>
  <si>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</si>
  <si>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</si>
  <si>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</si>
  <si>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</si>
  <si>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</si>
  <si>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</si>
  <si>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</si>
  <si>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</si>
  <si>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</si>
  <si>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</si>
  <si>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</si>
  <si>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</si>
  <si>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</si>
  <si>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</si>
  <si>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</si>
  <si>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</si>
  <si>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</si>
  <si>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</si>
  <si>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Humana Health Plan of Texas, Inc. </t>
  </si>
  <si>
    <t>HUMANA GRP</t>
  </si>
  <si>
    <t>Humana</t>
  </si>
  <si>
    <t>119</t>
  </si>
  <si>
    <t>2015</t>
  </si>
  <si>
    <t>1221 S. Mo Pac Expy, Suite 200 Austin, TX 78746-7625</t>
  </si>
  <si>
    <t>610994632</t>
  </si>
  <si>
    <t>095024</t>
  </si>
  <si>
    <t>95024</t>
  </si>
  <si>
    <t>217</t>
  </si>
  <si>
    <t>Humana Employers Health Plan of Georgia, Inc.</t>
  </si>
  <si>
    <t>Humana Health Insurance Company of Florida, Inc.</t>
  </si>
  <si>
    <t>Humana Health Plan, Inc.</t>
  </si>
  <si>
    <t>Humana Insurance Company</t>
  </si>
  <si>
    <t>Humana Insurance of Puerto Rico, Inc.</t>
  </si>
  <si>
    <t>Humana Medical Plan, Inc.</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</si>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</sst>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215160955</v>
      </c>
      <c r="E5" s="213">
        <f>SUM('Pt 2 Premium and Claims'!E$5,'Pt 2 Premium and Claims'!E$6,-'Pt 2 Premium and Claims'!E$7,-'Pt 2 Premium and Claims'!E$13,'Pt 2 Premium and Claims'!E$14:'Pt 2 Premium and Claims'!E$17)</f>
        <v>359686172.74999994</v>
      </c>
      <c r="F5" s="213">
        <f>SUM('Pt 2 Premium and Claims'!F$5,'Pt 2 Premium and Claims'!F$6,-'Pt 2 Premium and Claims'!F$7,-'Pt 2 Premium and Claims'!F$13,'Pt 2 Premium and Claims'!F$14:'Pt 2 Premium and Claims'!F$17)</f>
        <v>6094860.2000000002</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359676021</v>
      </c>
      <c r="J5" s="212">
        <f>SUM('Pt 2 Premium and Claims'!J$5,'Pt 2 Premium and Claims'!J$6,-'Pt 2 Premium and Claims'!J$7,-'Pt 2 Premium and Claims'!J$13,'Pt 2 Premium and Claims'!J$14,'Pt 2 Premium and Claims'!J$16:'Pt 2 Premium and Claims'!J$17)</f>
        <v>444280633</v>
      </c>
      <c r="K5" s="213">
        <f>SUM('Pt 2 Premium and Claims'!K$5,'Pt 2 Premium and Claims'!K$6,-'Pt 2 Premium and Claims'!K$7,-'Pt 2 Premium and Claims'!K$13,'Pt 2 Premium and Claims'!K$14,'Pt 2 Premium and Claims'!K$16:'Pt 2 Premium and Claims'!K$17)</f>
        <v>541090045.75</v>
      </c>
      <c r="L5" s="213">
        <f>SUM('Pt 2 Premium and Claims'!L$5,'Pt 2 Premium and Claims'!L$6,-'Pt 2 Premium and Claims'!L$7,-'Pt 2 Premium and Claims'!L$13,'Pt 2 Premium and Claims'!L$14,'Pt 2 Premium and Claims'!L$16:'Pt 2 Premium and Claims'!L$17)</f>
        <v>103161564.42</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291533565</v>
      </c>
      <c r="Q5" s="213">
        <f>SUM('Pt 2 Premium and Claims'!Q$5,'Pt 2 Premium and Claims'!Q$6,-'Pt 2 Premium and Claims'!Q$7,-'Pt 2 Premium and Claims'!Q$13,'Pt 2 Premium and Claims'!Q$14)</f>
        <v>348115463.68000001</v>
      </c>
      <c r="R5" s="213">
        <f>SUM('Pt 2 Premium and Claims'!R$5,'Pt 2 Premium and Claims'!R$6,-'Pt 2 Premium and Claims'!R$7,-'Pt 2 Premium and Claims'!R$13,'Pt 2 Premium and Claims'!R$14)</f>
        <v>49269015.950000003</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-17</v>
      </c>
      <c r="AU5" s="214">
        <f>SUM('Pt 2 Premium and Claims'!AU$5,'Pt 2 Premium and Claims'!AU$6,-'Pt 2 Premium and Claims'!AU$7,-'Pt 2 Premium and Claims'!AU$13,'Pt 2 Premium and Claims'!AU$14)</f>
        <v>991590958</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1.42</v>
      </c>
      <c r="F7" s="217"/>
      <c r="G7" s="217"/>
      <c r="H7" s="217"/>
      <c r="I7" s="216">
        <v>0</v>
      </c>
      <c r="J7" s="216">
        <v>76853</v>
      </c>
      <c r="K7" s="217">
        <v>73646.31</v>
      </c>
      <c r="L7" s="217">
        <v>-3205.65</v>
      </c>
      <c r="M7" s="217"/>
      <c r="N7" s="217"/>
      <c r="O7" s="216"/>
      <c r="P7" s="216">
        <v>67454</v>
      </c>
      <c r="Q7" s="217">
        <v>65525.599999999999</v>
      </c>
      <c r="R7" s="217">
        <v>-1928.06</v>
      </c>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-3846292</v>
      </c>
      <c r="E8" s="268"/>
      <c r="F8" s="269"/>
      <c r="G8" s="269"/>
      <c r="H8" s="269"/>
      <c r="I8" s="272"/>
      <c r="J8" s="216">
        <v>-754679</v>
      </c>
      <c r="K8" s="268"/>
      <c r="L8" s="269"/>
      <c r="M8" s="269"/>
      <c r="N8" s="269"/>
      <c r="O8" s="272"/>
      <c r="P8" s="216">
        <v>-347997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279160795</v>
      </c>
      <c r="E12" s="213">
        <f>'Pt 2 Premium and Claims'!E$54</f>
        <v>396706517.05000007</v>
      </c>
      <c r="F12" s="213">
        <f>'Pt 2 Premium and Claims'!F$54</f>
        <v>15061889</v>
      </c>
      <c r="G12" s="213">
        <f>'Pt 2 Premium and Claims'!G$54</f>
        <v>0</v>
      </c>
      <c r="H12" s="213">
        <f>'Pt 2 Premium and Claims'!H$54</f>
        <v>0</v>
      </c>
      <c r="I12" s="212">
        <f>'Pt 2 Premium and Claims'!I$54</f>
        <v>396749487</v>
      </c>
      <c r="J12" s="212">
        <f>'Pt 2 Premium and Claims'!J$54</f>
        <v>367920754</v>
      </c>
      <c r="K12" s="213">
        <f>'Pt 2 Premium and Claims'!K$54</f>
        <v>449282540.30000001</v>
      </c>
      <c r="L12" s="213">
        <f>'Pt 2 Premium and Claims'!L$54</f>
        <v>84997661.079999998</v>
      </c>
      <c r="M12" s="213">
        <f>'Pt 2 Premium and Claims'!M$54</f>
        <v>0</v>
      </c>
      <c r="N12" s="213">
        <f>'Pt 2 Premium and Claims'!N$54</f>
        <v>0</v>
      </c>
      <c r="O12" s="212">
        <f>'Pt 2 Premium and Claims'!O$54</f>
        <v>0</v>
      </c>
      <c r="P12" s="212">
        <f>'Pt 2 Premium and Claims'!P$54</f>
        <v>250734989</v>
      </c>
      <c r="Q12" s="213">
        <f>'Pt 2 Premium and Claims'!Q$54</f>
        <v>290004025.63</v>
      </c>
      <c r="R12" s="213">
        <f>'Pt 2 Premium and Claims'!R$54</f>
        <v>41208324.369999997</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0</v>
      </c>
      <c r="AU12" s="214">
        <f>'Pt 2 Premium and Claims'!AU$54</f>
        <v>870269155</v>
      </c>
      <c r="AV12" s="291"/>
      <c r="AW12" s="296"/>
    </row>
    <row r="13" spans="1:49" ht="25.5" x14ac:dyDescent="0.2">
      <c r="B13" s="239" t="s">
        <v>230</v>
      </c>
      <c r="C13" s="203" t="s">
        <v>37</v>
      </c>
      <c r="D13" s="216">
        <v>58528258</v>
      </c>
      <c r="E13" s="217">
        <v>63899524.600000001</v>
      </c>
      <c r="F13" s="217"/>
      <c r="G13" s="268"/>
      <c r="H13" s="269"/>
      <c r="I13" s="216">
        <v>63899485</v>
      </c>
      <c r="J13" s="216">
        <v>98500214</v>
      </c>
      <c r="K13" s="217">
        <v>99382767.180000007</v>
      </c>
      <c r="L13" s="217"/>
      <c r="M13" s="268"/>
      <c r="N13" s="269"/>
      <c r="O13" s="216"/>
      <c r="P13" s="216">
        <v>62338949</v>
      </c>
      <c r="Q13" s="217">
        <v>61920083.479999997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123111717</v>
      </c>
      <c r="AV13" s="290"/>
      <c r="AW13" s="297"/>
    </row>
    <row r="14" spans="1:49" ht="25.5" x14ac:dyDescent="0.2">
      <c r="B14" s="239" t="s">
        <v>231</v>
      </c>
      <c r="C14" s="203" t="s">
        <v>6</v>
      </c>
      <c r="D14" s="216">
        <v>8494599</v>
      </c>
      <c r="E14" s="217">
        <v>8186480.1299999999</v>
      </c>
      <c r="F14" s="217"/>
      <c r="G14" s="267"/>
      <c r="H14" s="270"/>
      <c r="I14" s="216">
        <v>8186480</v>
      </c>
      <c r="J14" s="216">
        <v>13229022</v>
      </c>
      <c r="K14" s="217">
        <v>13376155.619999999</v>
      </c>
      <c r="L14" s="217"/>
      <c r="M14" s="267"/>
      <c r="N14" s="270"/>
      <c r="O14" s="216"/>
      <c r="P14" s="216">
        <v>8706581</v>
      </c>
      <c r="Q14" s="217">
        <v>8730315.1799999997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45930192</v>
      </c>
      <c r="AV14" s="290"/>
      <c r="AW14" s="297"/>
    </row>
    <row r="15" spans="1:49" ht="38.25" x14ac:dyDescent="0.2">
      <c r="B15" s="239" t="s">
        <v>232</v>
      </c>
      <c r="C15" s="203" t="s">
        <v>7</v>
      </c>
      <c r="D15" s="216">
        <v>13832</v>
      </c>
      <c r="E15" s="217">
        <v>13831.84</v>
      </c>
      <c r="F15" s="217"/>
      <c r="G15" s="267"/>
      <c r="H15" s="273"/>
      <c r="I15" s="216">
        <v>13832</v>
      </c>
      <c r="J15" s="216">
        <v>18433</v>
      </c>
      <c r="K15" s="217">
        <v>18088.55</v>
      </c>
      <c r="L15" s="217"/>
      <c r="M15" s="267"/>
      <c r="N15" s="273"/>
      <c r="O15" s="216"/>
      <c r="P15" s="216">
        <v>12017</v>
      </c>
      <c r="Q15" s="217">
        <v>12360.77</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36564</v>
      </c>
      <c r="AV15" s="290"/>
      <c r="AW15" s="297"/>
    </row>
    <row r="16" spans="1:49" ht="25.5" x14ac:dyDescent="0.2">
      <c r="B16" s="239" t="s">
        <v>233</v>
      </c>
      <c r="C16" s="203" t="s">
        <v>61</v>
      </c>
      <c r="D16" s="216">
        <v>-50026182</v>
      </c>
      <c r="E16" s="268"/>
      <c r="F16" s="269"/>
      <c r="G16" s="270"/>
      <c r="H16" s="270"/>
      <c r="I16" s="272"/>
      <c r="J16" s="216">
        <v>-2530566</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11847000</v>
      </c>
      <c r="E17" s="267"/>
      <c r="F17" s="270"/>
      <c r="G17" s="270"/>
      <c r="H17" s="270"/>
      <c r="I17" s="271"/>
      <c r="J17" s="216">
        <v>-71000</v>
      </c>
      <c r="K17" s="267"/>
      <c r="L17" s="270"/>
      <c r="M17" s="270"/>
      <c r="N17" s="270"/>
      <c r="O17" s="271"/>
      <c r="P17" s="216">
        <v>-1415000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605911.56999999995</v>
      </c>
      <c r="E22" s="222">
        <f>'Pt 2 Premium and Claims'!E$55</f>
        <v>615993.47</v>
      </c>
      <c r="F22" s="222">
        <f>'Pt 2 Premium and Claims'!F$55</f>
        <v>2224.0700000000002</v>
      </c>
      <c r="G22" s="222">
        <f>'Pt 2 Premium and Claims'!G$55</f>
        <v>0</v>
      </c>
      <c r="H22" s="222">
        <f>'Pt 2 Premium and Claims'!H$55</f>
        <v>0</v>
      </c>
      <c r="I22" s="221">
        <f>'Pt 2 Premium and Claims'!I$55</f>
        <v>615987</v>
      </c>
      <c r="J22" s="221">
        <f>'Pt 2 Premium and Claims'!J$55</f>
        <v>647638.21</v>
      </c>
      <c r="K22" s="222">
        <f>'Pt 2 Premium and Claims'!K$55</f>
        <v>783406.38</v>
      </c>
      <c r="L22" s="222">
        <f>'Pt 2 Premium and Claims'!L$55</f>
        <v>148013.39000000001</v>
      </c>
      <c r="M22" s="222">
        <f>'Pt 2 Premium and Claims'!M$55</f>
        <v>0</v>
      </c>
      <c r="N22" s="222">
        <f>'Pt 2 Premium and Claims'!N$55</f>
        <v>0</v>
      </c>
      <c r="O22" s="221">
        <f>'Pt 2 Premium and Claims'!O$55</f>
        <v>0</v>
      </c>
      <c r="P22" s="221">
        <f>'Pt 2 Premium and Claims'!P$55</f>
        <v>397805.74</v>
      </c>
      <c r="Q22" s="222">
        <f>'Pt 2 Premium and Claims'!Q$55</f>
        <v>482326.46</v>
      </c>
      <c r="R22" s="222">
        <f>'Pt 2 Premium and Claims'!R$55</f>
        <v>72275.5</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-29375424.52</v>
      </c>
      <c r="E25" s="217">
        <v>-19546957.350000001</v>
      </c>
      <c r="F25" s="217">
        <v>-3127838.21</v>
      </c>
      <c r="G25" s="217"/>
      <c r="H25" s="217"/>
      <c r="I25" s="216">
        <v>-58398274</v>
      </c>
      <c r="J25" s="216">
        <v>-6953088.6900000004</v>
      </c>
      <c r="K25" s="217">
        <v>-5047122.63</v>
      </c>
      <c r="L25" s="217">
        <v>3268826.09</v>
      </c>
      <c r="M25" s="217"/>
      <c r="N25" s="217"/>
      <c r="O25" s="216"/>
      <c r="P25" s="216">
        <v>1162396.1599999999</v>
      </c>
      <c r="Q25" s="217">
        <v>-743440.49</v>
      </c>
      <c r="R25" s="217">
        <v>-3268715.73</v>
      </c>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12318941.01</v>
      </c>
      <c r="AV25" s="220"/>
      <c r="AW25" s="297"/>
    </row>
    <row r="26" spans="1:49" s="5" customFormat="1" x14ac:dyDescent="0.2">
      <c r="A26" s="35"/>
      <c r="B26" s="242" t="s">
        <v>242</v>
      </c>
      <c r="C26" s="203"/>
      <c r="D26" s="216">
        <v>80898.17</v>
      </c>
      <c r="E26" s="217">
        <v>82408.38</v>
      </c>
      <c r="F26" s="217">
        <v>1510.21</v>
      </c>
      <c r="G26" s="217"/>
      <c r="H26" s="217"/>
      <c r="I26" s="216">
        <v>82048</v>
      </c>
      <c r="J26" s="216">
        <v>232109.53</v>
      </c>
      <c r="K26" s="217">
        <v>278982.32</v>
      </c>
      <c r="L26" s="217">
        <v>51809.36</v>
      </c>
      <c r="M26" s="217"/>
      <c r="N26" s="217"/>
      <c r="O26" s="216"/>
      <c r="P26" s="216">
        <v>148808.74</v>
      </c>
      <c r="Q26" s="217">
        <v>181539.08</v>
      </c>
      <c r="R26" s="217">
        <v>27793.77</v>
      </c>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5605080.1799999997</v>
      </c>
      <c r="E27" s="217">
        <v>5704113.8899999997</v>
      </c>
      <c r="F27" s="217">
        <v>99033.71</v>
      </c>
      <c r="G27" s="217"/>
      <c r="H27" s="217"/>
      <c r="I27" s="216">
        <v>5704014</v>
      </c>
      <c r="J27" s="216">
        <v>7485701.2699999996</v>
      </c>
      <c r="K27" s="217">
        <v>9077739.4399999995</v>
      </c>
      <c r="L27" s="217">
        <v>1731840.42</v>
      </c>
      <c r="M27" s="217"/>
      <c r="N27" s="217"/>
      <c r="O27" s="216"/>
      <c r="P27" s="216">
        <v>4852463.43</v>
      </c>
      <c r="Q27" s="217">
        <v>5807701.6600000001</v>
      </c>
      <c r="R27" s="217">
        <v>815435.98</v>
      </c>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16581273.689999999</v>
      </c>
      <c r="AV27" s="293"/>
      <c r="AW27" s="297"/>
    </row>
    <row r="28" spans="1:49" s="5" customFormat="1" x14ac:dyDescent="0.2">
      <c r="A28" s="35"/>
      <c r="B28" s="242" t="s">
        <v>244</v>
      </c>
      <c r="C28" s="203"/>
      <c r="D28" s="216">
        <v>905454.86</v>
      </c>
      <c r="E28" s="217">
        <v>919632.44</v>
      </c>
      <c r="F28" s="217">
        <v>14177.58</v>
      </c>
      <c r="G28" s="217"/>
      <c r="H28" s="217"/>
      <c r="I28" s="216">
        <v>919623</v>
      </c>
      <c r="J28" s="216">
        <v>815584.22</v>
      </c>
      <c r="K28" s="217">
        <v>1006118.86</v>
      </c>
      <c r="L28" s="217">
        <v>206349.55</v>
      </c>
      <c r="M28" s="217"/>
      <c r="N28" s="217"/>
      <c r="O28" s="216"/>
      <c r="P28" s="216">
        <v>511869.3</v>
      </c>
      <c r="Q28" s="217">
        <v>635411.26</v>
      </c>
      <c r="R28" s="217">
        <v>107727.05</v>
      </c>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1505645.99</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-1647015.55</v>
      </c>
      <c r="E30" s="217">
        <v>-1025144.45</v>
      </c>
      <c r="F30" s="217">
        <v>-243110.92</v>
      </c>
      <c r="G30" s="217"/>
      <c r="H30" s="217"/>
      <c r="I30" s="216">
        <v>-3440059</v>
      </c>
      <c r="J30" s="216">
        <v>-313156.62</v>
      </c>
      <c r="K30" s="217">
        <v>-116900.77</v>
      </c>
      <c r="L30" s="217">
        <v>279814.27</v>
      </c>
      <c r="M30" s="217"/>
      <c r="N30" s="217"/>
      <c r="O30" s="216"/>
      <c r="P30" s="216">
        <v>134437.04999999999</v>
      </c>
      <c r="Q30" s="217">
        <v>-25250.240000000002</v>
      </c>
      <c r="R30" s="217">
        <v>-243246.86</v>
      </c>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925868.68</v>
      </c>
      <c r="AV30" s="220"/>
      <c r="AW30" s="297"/>
    </row>
    <row r="31" spans="1:49" x14ac:dyDescent="0.2">
      <c r="B31" s="242" t="s">
        <v>247</v>
      </c>
      <c r="C31" s="203"/>
      <c r="D31" s="216">
        <v>5758384.8899999997</v>
      </c>
      <c r="E31" s="217">
        <v>5878550.2599999998</v>
      </c>
      <c r="F31" s="217">
        <v>120165.37</v>
      </c>
      <c r="G31" s="217"/>
      <c r="H31" s="217"/>
      <c r="I31" s="216">
        <v>5878554</v>
      </c>
      <c r="J31" s="216">
        <v>7800480.5800000001</v>
      </c>
      <c r="K31" s="217">
        <v>9682911.3399999999</v>
      </c>
      <c r="L31" s="217">
        <v>2025602.93</v>
      </c>
      <c r="M31" s="217"/>
      <c r="N31" s="217"/>
      <c r="O31" s="216"/>
      <c r="P31" s="216">
        <v>3593796.21</v>
      </c>
      <c r="Q31" s="217">
        <v>4702507.97</v>
      </c>
      <c r="R31" s="217">
        <v>965539.59</v>
      </c>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v>0</v>
      </c>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1060893.1299999999</v>
      </c>
      <c r="E34" s="217">
        <v>4231918.62</v>
      </c>
      <c r="F34" s="217">
        <v>0</v>
      </c>
      <c r="G34" s="217"/>
      <c r="H34" s="217"/>
      <c r="I34" s="216">
        <v>4231878</v>
      </c>
      <c r="J34" s="216">
        <v>5279237.9400000004</v>
      </c>
      <c r="K34" s="217">
        <v>5179040.5199999996</v>
      </c>
      <c r="L34" s="217"/>
      <c r="M34" s="217"/>
      <c r="N34" s="217"/>
      <c r="O34" s="216"/>
      <c r="P34" s="216">
        <v>2884794.4</v>
      </c>
      <c r="Q34" s="217">
        <v>2984991.82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9961079.0099999998</v>
      </c>
      <c r="E35" s="217">
        <v>9966943.2799999993</v>
      </c>
      <c r="F35" s="217">
        <v>5864.27</v>
      </c>
      <c r="G35" s="217"/>
      <c r="H35" s="217"/>
      <c r="I35" s="216">
        <v>9966940</v>
      </c>
      <c r="J35" s="216">
        <v>292198.33</v>
      </c>
      <c r="K35" s="217">
        <v>355788.14</v>
      </c>
      <c r="L35" s="217">
        <v>68656.429999999993</v>
      </c>
      <c r="M35" s="217"/>
      <c r="N35" s="217"/>
      <c r="O35" s="216"/>
      <c r="P35" s="216">
        <v>166624.93</v>
      </c>
      <c r="Q35" s="217">
        <v>204432.44</v>
      </c>
      <c r="R35" s="217">
        <v>32740.89</v>
      </c>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491943.38</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1241049</v>
      </c>
      <c r="E37" s="225">
        <v>1246606.1599999999</v>
      </c>
      <c r="F37" s="225">
        <v>5557.18</v>
      </c>
      <c r="G37" s="225"/>
      <c r="H37" s="225"/>
      <c r="I37" s="224">
        <v>1246767</v>
      </c>
      <c r="J37" s="224">
        <v>1256641</v>
      </c>
      <c r="K37" s="225">
        <v>1331597.45</v>
      </c>
      <c r="L37" s="225">
        <v>102671.93</v>
      </c>
      <c r="M37" s="225"/>
      <c r="N37" s="225"/>
      <c r="O37" s="224"/>
      <c r="P37" s="224">
        <v>1093870</v>
      </c>
      <c r="Q37" s="225">
        <v>1223239.07</v>
      </c>
      <c r="R37" s="225">
        <v>101653.88</v>
      </c>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4120824</v>
      </c>
      <c r="AV37" s="226">
        <v>0</v>
      </c>
      <c r="AW37" s="296"/>
    </row>
    <row r="38" spans="1:49" x14ac:dyDescent="0.2">
      <c r="B38" s="239" t="s">
        <v>254</v>
      </c>
      <c r="C38" s="203" t="s">
        <v>16</v>
      </c>
      <c r="D38" s="216">
        <v>130570</v>
      </c>
      <c r="E38" s="217">
        <v>131421.35999999999</v>
      </c>
      <c r="F38" s="217">
        <v>850.92</v>
      </c>
      <c r="G38" s="217"/>
      <c r="H38" s="217"/>
      <c r="I38" s="216">
        <v>131578</v>
      </c>
      <c r="J38" s="216">
        <v>51768</v>
      </c>
      <c r="K38" s="217">
        <v>60733.99</v>
      </c>
      <c r="L38" s="217">
        <v>11958.94</v>
      </c>
      <c r="M38" s="217"/>
      <c r="N38" s="217"/>
      <c r="O38" s="216"/>
      <c r="P38" s="216">
        <v>265505</v>
      </c>
      <c r="Q38" s="217">
        <v>337620.17</v>
      </c>
      <c r="R38" s="217">
        <v>69122.320000000007</v>
      </c>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1417214</v>
      </c>
      <c r="AV38" s="220">
        <v>0</v>
      </c>
      <c r="AW38" s="297"/>
    </row>
    <row r="39" spans="1:49" x14ac:dyDescent="0.2">
      <c r="B39" s="242" t="s">
        <v>255</v>
      </c>
      <c r="C39" s="203" t="s">
        <v>17</v>
      </c>
      <c r="D39" s="216">
        <v>444180</v>
      </c>
      <c r="E39" s="217">
        <v>445520.17</v>
      </c>
      <c r="F39" s="217">
        <v>1339.92</v>
      </c>
      <c r="G39" s="217"/>
      <c r="H39" s="217"/>
      <c r="I39" s="216">
        <v>445540</v>
      </c>
      <c r="J39" s="216">
        <v>702533</v>
      </c>
      <c r="K39" s="217">
        <v>711931.04</v>
      </c>
      <c r="L39" s="217">
        <v>22977.9</v>
      </c>
      <c r="M39" s="217"/>
      <c r="N39" s="217"/>
      <c r="O39" s="216"/>
      <c r="P39" s="216">
        <v>450085</v>
      </c>
      <c r="Q39" s="217">
        <v>483703.21</v>
      </c>
      <c r="R39" s="217">
        <v>20038.509999999998</v>
      </c>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1372777</v>
      </c>
      <c r="AV39" s="220">
        <v>0</v>
      </c>
      <c r="AW39" s="297"/>
    </row>
    <row r="40" spans="1:49" x14ac:dyDescent="0.2">
      <c r="B40" s="242" t="s">
        <v>256</v>
      </c>
      <c r="C40" s="203" t="s">
        <v>38</v>
      </c>
      <c r="D40" s="216">
        <v>303228</v>
      </c>
      <c r="E40" s="217">
        <v>303802.08</v>
      </c>
      <c r="F40" s="217">
        <v>574.14</v>
      </c>
      <c r="G40" s="217"/>
      <c r="H40" s="217"/>
      <c r="I40" s="216">
        <v>303870</v>
      </c>
      <c r="J40" s="216">
        <v>5006263</v>
      </c>
      <c r="K40" s="217">
        <v>5027581.8</v>
      </c>
      <c r="L40" s="217">
        <v>117449.26</v>
      </c>
      <c r="M40" s="217"/>
      <c r="N40" s="217"/>
      <c r="O40" s="216"/>
      <c r="P40" s="216">
        <v>2935820</v>
      </c>
      <c r="Q40" s="217">
        <v>3135852.86</v>
      </c>
      <c r="R40" s="217">
        <v>103901.23</v>
      </c>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5775076</v>
      </c>
      <c r="AV40" s="220">
        <v>0</v>
      </c>
      <c r="AW40" s="297"/>
    </row>
    <row r="41" spans="1:49" s="5" customFormat="1" ht="25.5" x14ac:dyDescent="0.2">
      <c r="A41" s="35"/>
      <c r="B41" s="242" t="s">
        <v>257</v>
      </c>
      <c r="C41" s="203" t="s">
        <v>129</v>
      </c>
      <c r="D41" s="216">
        <v>465104</v>
      </c>
      <c r="E41" s="217">
        <v>472428.31</v>
      </c>
      <c r="F41" s="217">
        <v>7324.7</v>
      </c>
      <c r="G41" s="217"/>
      <c r="H41" s="217"/>
      <c r="I41" s="216">
        <v>472423</v>
      </c>
      <c r="J41" s="216">
        <v>641286</v>
      </c>
      <c r="K41" s="217">
        <v>775160</v>
      </c>
      <c r="L41" s="217">
        <v>145749.41</v>
      </c>
      <c r="M41" s="217"/>
      <c r="N41" s="217"/>
      <c r="O41" s="216"/>
      <c r="P41" s="216">
        <v>373935</v>
      </c>
      <c r="Q41" s="217">
        <v>455612.69</v>
      </c>
      <c r="R41" s="217">
        <v>69801.3</v>
      </c>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1188257</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4093802</v>
      </c>
      <c r="E44" s="225">
        <v>4145630.19</v>
      </c>
      <c r="F44" s="225">
        <v>51828.7</v>
      </c>
      <c r="G44" s="225"/>
      <c r="H44" s="225"/>
      <c r="I44" s="224">
        <v>4145770</v>
      </c>
      <c r="J44" s="224">
        <v>5144165</v>
      </c>
      <c r="K44" s="225">
        <v>5665632.0800000001</v>
      </c>
      <c r="L44" s="225">
        <v>618540.56999999995</v>
      </c>
      <c r="M44" s="225"/>
      <c r="N44" s="225"/>
      <c r="O44" s="224"/>
      <c r="P44" s="224">
        <v>3073199</v>
      </c>
      <c r="Q44" s="225">
        <v>3487653.93</v>
      </c>
      <c r="R44" s="225">
        <v>317382.02</v>
      </c>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8242658</v>
      </c>
      <c r="AV44" s="226">
        <v>0</v>
      </c>
      <c r="AW44" s="296"/>
    </row>
    <row r="45" spans="1:49" x14ac:dyDescent="0.2">
      <c r="B45" s="245" t="s">
        <v>261</v>
      </c>
      <c r="C45" s="203" t="s">
        <v>19</v>
      </c>
      <c r="D45" s="216">
        <v>3591593</v>
      </c>
      <c r="E45" s="217">
        <v>3649750.64</v>
      </c>
      <c r="F45" s="217">
        <v>58157.04</v>
      </c>
      <c r="G45" s="217"/>
      <c r="H45" s="217"/>
      <c r="I45" s="216">
        <v>3649713</v>
      </c>
      <c r="J45" s="216">
        <v>2827124</v>
      </c>
      <c r="K45" s="217">
        <v>3234545.68</v>
      </c>
      <c r="L45" s="217">
        <v>458682.6</v>
      </c>
      <c r="M45" s="217"/>
      <c r="N45" s="217"/>
      <c r="O45" s="216"/>
      <c r="P45" s="216">
        <v>1755934</v>
      </c>
      <c r="Q45" s="217">
        <v>2024961.62</v>
      </c>
      <c r="R45" s="217">
        <v>217767.13</v>
      </c>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6404964</v>
      </c>
      <c r="AV45" s="220">
        <v>0</v>
      </c>
      <c r="AW45" s="297"/>
    </row>
    <row r="46" spans="1:49" x14ac:dyDescent="0.2">
      <c r="B46" s="245" t="s">
        <v>262</v>
      </c>
      <c r="C46" s="203" t="s">
        <v>20</v>
      </c>
      <c r="D46" s="216">
        <v>1747600</v>
      </c>
      <c r="E46" s="217">
        <v>1776711.45</v>
      </c>
      <c r="F46" s="217">
        <v>29111.85</v>
      </c>
      <c r="G46" s="217"/>
      <c r="H46" s="217"/>
      <c r="I46" s="216">
        <v>1776695</v>
      </c>
      <c r="J46" s="216">
        <v>1905966</v>
      </c>
      <c r="K46" s="217">
        <v>2304568.14</v>
      </c>
      <c r="L46" s="217">
        <v>436013.93</v>
      </c>
      <c r="M46" s="217"/>
      <c r="N46" s="217"/>
      <c r="O46" s="216"/>
      <c r="P46" s="216">
        <v>1126346</v>
      </c>
      <c r="Q46" s="217">
        <v>1383888.99</v>
      </c>
      <c r="R46" s="217">
        <v>220131.38</v>
      </c>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7174561</v>
      </c>
      <c r="AV46" s="220">
        <v>0</v>
      </c>
      <c r="AW46" s="297"/>
    </row>
    <row r="47" spans="1:49" x14ac:dyDescent="0.2">
      <c r="B47" s="245" t="s">
        <v>263</v>
      </c>
      <c r="C47" s="203" t="s">
        <v>21</v>
      </c>
      <c r="D47" s="216">
        <v>10542510</v>
      </c>
      <c r="E47" s="217">
        <v>10547784.34</v>
      </c>
      <c r="F47" s="217">
        <v>5274.71</v>
      </c>
      <c r="G47" s="217"/>
      <c r="H47" s="217"/>
      <c r="I47" s="216">
        <v>10547744</v>
      </c>
      <c r="J47" s="216">
        <v>33198580</v>
      </c>
      <c r="K47" s="217">
        <v>32640605.199999999</v>
      </c>
      <c r="L47" s="217">
        <v>76773.52</v>
      </c>
      <c r="M47" s="217"/>
      <c r="N47" s="217"/>
      <c r="O47" s="216"/>
      <c r="P47" s="216">
        <v>15565258</v>
      </c>
      <c r="Q47" s="217">
        <v>16240086.68</v>
      </c>
      <c r="R47" s="217">
        <v>40080.42</v>
      </c>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12812485</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330836.94</v>
      </c>
      <c r="E49" s="217">
        <v>241963.9</v>
      </c>
      <c r="F49" s="217">
        <v>-88873.04</v>
      </c>
      <c r="G49" s="217"/>
      <c r="H49" s="217"/>
      <c r="I49" s="216">
        <v>241989</v>
      </c>
      <c r="J49" s="216">
        <v>99383.2</v>
      </c>
      <c r="K49" s="217">
        <v>211269.18</v>
      </c>
      <c r="L49" s="217">
        <v>112364.74</v>
      </c>
      <c r="M49" s="217"/>
      <c r="N49" s="217"/>
      <c r="O49" s="216"/>
      <c r="P49" s="216">
        <v>4437.3999999999996</v>
      </c>
      <c r="Q49" s="217">
        <v>-93900.91</v>
      </c>
      <c r="R49" s="217">
        <v>-98817.07</v>
      </c>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-79328.78</v>
      </c>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36776.81</v>
      </c>
      <c r="AV50" s="220"/>
      <c r="AW50" s="297"/>
    </row>
    <row r="51" spans="2:49" x14ac:dyDescent="0.2">
      <c r="B51" s="239" t="s">
        <v>266</v>
      </c>
      <c r="C51" s="203"/>
      <c r="D51" s="216">
        <v>26511797</v>
      </c>
      <c r="E51" s="217">
        <v>26923196.109999999</v>
      </c>
      <c r="F51" s="217">
        <v>411399.45</v>
      </c>
      <c r="G51" s="217"/>
      <c r="H51" s="217"/>
      <c r="I51" s="216">
        <v>26922253</v>
      </c>
      <c r="J51" s="216">
        <v>25159942</v>
      </c>
      <c r="K51" s="217">
        <v>31076138.41</v>
      </c>
      <c r="L51" s="217">
        <v>6372783.1399999997</v>
      </c>
      <c r="M51" s="217"/>
      <c r="N51" s="217"/>
      <c r="O51" s="216"/>
      <c r="P51" s="216">
        <v>12692390</v>
      </c>
      <c r="Q51" s="217">
        <v>16028192.779999999</v>
      </c>
      <c r="R51" s="217">
        <v>2226158.27</v>
      </c>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39746234</v>
      </c>
      <c r="AV51" s="220">
        <v>0</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56451</v>
      </c>
      <c r="E56" s="229">
        <v>56451</v>
      </c>
      <c r="F56" s="229">
        <v>0</v>
      </c>
      <c r="G56" s="229"/>
      <c r="H56" s="229"/>
      <c r="I56" s="228">
        <v>56450</v>
      </c>
      <c r="J56" s="228">
        <v>74811</v>
      </c>
      <c r="K56" s="229">
        <v>73257</v>
      </c>
      <c r="L56" s="229">
        <v>0</v>
      </c>
      <c r="M56" s="229"/>
      <c r="N56" s="229"/>
      <c r="O56" s="228"/>
      <c r="P56" s="228">
        <v>40349</v>
      </c>
      <c r="Q56" s="229">
        <v>41903</v>
      </c>
      <c r="R56" s="229">
        <v>0</v>
      </c>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102116</v>
      </c>
      <c r="AV56" s="230">
        <v>0</v>
      </c>
      <c r="AW56" s="288"/>
    </row>
    <row r="57" spans="2:49" x14ac:dyDescent="0.2">
      <c r="B57" s="245" t="s">
        <v>272</v>
      </c>
      <c r="C57" s="203" t="s">
        <v>25</v>
      </c>
      <c r="D57" s="231">
        <v>85530</v>
      </c>
      <c r="E57" s="232">
        <v>85530</v>
      </c>
      <c r="F57" s="232">
        <v>1825</v>
      </c>
      <c r="G57" s="232"/>
      <c r="H57" s="232"/>
      <c r="I57" s="231">
        <v>85529</v>
      </c>
      <c r="J57" s="231">
        <v>118411</v>
      </c>
      <c r="K57" s="232">
        <v>116063</v>
      </c>
      <c r="L57" s="232">
        <v>22415</v>
      </c>
      <c r="M57" s="232"/>
      <c r="N57" s="232"/>
      <c r="O57" s="231"/>
      <c r="P57" s="231">
        <v>66356</v>
      </c>
      <c r="Q57" s="232">
        <v>68704</v>
      </c>
      <c r="R57" s="232">
        <v>10711</v>
      </c>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102116</v>
      </c>
      <c r="AV57" s="233">
        <v>0</v>
      </c>
      <c r="AW57" s="289"/>
    </row>
    <row r="58" spans="2:49" x14ac:dyDescent="0.2">
      <c r="B58" s="245" t="s">
        <v>273</v>
      </c>
      <c r="C58" s="203" t="s">
        <v>26</v>
      </c>
      <c r="D58" s="309"/>
      <c r="E58" s="310"/>
      <c r="F58" s="310"/>
      <c r="G58" s="310"/>
      <c r="H58" s="310"/>
      <c r="I58" s="309"/>
      <c r="J58" s="231">
        <v>7281</v>
      </c>
      <c r="K58" s="232">
        <v>7281</v>
      </c>
      <c r="L58" s="232"/>
      <c r="M58" s="232"/>
      <c r="N58" s="232"/>
      <c r="O58" s="231"/>
      <c r="P58" s="231">
        <v>329</v>
      </c>
      <c r="Q58" s="232">
        <v>329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4</v>
      </c>
      <c r="AV58" s="233">
        <v>0</v>
      </c>
      <c r="AW58" s="289"/>
    </row>
    <row r="59" spans="2:49" x14ac:dyDescent="0.2">
      <c r="B59" s="245" t="s">
        <v>274</v>
      </c>
      <c r="C59" s="203" t="s">
        <v>27</v>
      </c>
      <c r="D59" s="231">
        <v>1146282</v>
      </c>
      <c r="E59" s="232">
        <v>1147557</v>
      </c>
      <c r="F59" s="232">
        <v>19154</v>
      </c>
      <c r="G59" s="232"/>
      <c r="H59" s="232"/>
      <c r="I59" s="231">
        <v>1147545</v>
      </c>
      <c r="J59" s="231">
        <v>1447734</v>
      </c>
      <c r="K59" s="232">
        <v>1418824</v>
      </c>
      <c r="L59" s="232">
        <v>268286</v>
      </c>
      <c r="M59" s="232"/>
      <c r="N59" s="232"/>
      <c r="O59" s="231"/>
      <c r="P59" s="231">
        <v>804067</v>
      </c>
      <c r="Q59" s="232">
        <v>833223</v>
      </c>
      <c r="R59" s="232">
        <v>128351</v>
      </c>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1194175</v>
      </c>
      <c r="AV59" s="233">
        <v>0</v>
      </c>
      <c r="AW59" s="289"/>
    </row>
    <row r="60" spans="2:49" x14ac:dyDescent="0.2">
      <c r="B60" s="245" t="s">
        <v>275</v>
      </c>
      <c r="C60" s="203"/>
      <c r="D60" s="234">
        <f t="shared" ref="D60:AC60" si="0">D$59/12</f>
        <v>95523.5</v>
      </c>
      <c r="E60" s="235">
        <f t="shared" si="0"/>
        <v>95629.75</v>
      </c>
      <c r="F60" s="235">
        <f t="shared" si="0"/>
        <v>1596.1666666666667</v>
      </c>
      <c r="G60" s="235">
        <f t="shared" si="0"/>
        <v>0</v>
      </c>
      <c r="H60" s="235">
        <f t="shared" si="0"/>
        <v>0</v>
      </c>
      <c r="I60" s="234">
        <f t="shared" si="0"/>
        <v>95628.75</v>
      </c>
      <c r="J60" s="234">
        <f t="shared" si="0"/>
        <v>120644.5</v>
      </c>
      <c r="K60" s="235">
        <f t="shared" si="0"/>
        <v>118235.33333333333</v>
      </c>
      <c r="L60" s="235">
        <f t="shared" si="0"/>
        <v>22357.166666666668</v>
      </c>
      <c r="M60" s="235">
        <f t="shared" si="0"/>
        <v>0</v>
      </c>
      <c r="N60" s="235">
        <f t="shared" si="0"/>
        <v>0</v>
      </c>
      <c r="O60" s="234">
        <f t="shared" si="0"/>
        <v>0</v>
      </c>
      <c r="P60" s="234">
        <f t="shared" si="0"/>
        <v>67005.583333333328</v>
      </c>
      <c r="Q60" s="235">
        <f t="shared" si="0"/>
        <v>69435.25</v>
      </c>
      <c r="R60" s="235">
        <f t="shared" si="0"/>
        <v>10695.916666666666</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0</v>
      </c>
      <c r="AU60" s="236">
        <f t="shared" si="1"/>
        <v>99514.583333333328</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215159821</v>
      </c>
      <c r="E5" s="326">
        <v>335404567.58999997</v>
      </c>
      <c r="F5" s="326">
        <v>6094860.2000000002</v>
      </c>
      <c r="G5" s="328"/>
      <c r="H5" s="328"/>
      <c r="I5" s="325">
        <v>335394416</v>
      </c>
      <c r="J5" s="325">
        <v>444280633</v>
      </c>
      <c r="K5" s="326">
        <v>543263352.38999999</v>
      </c>
      <c r="L5" s="326">
        <v>103161564.42</v>
      </c>
      <c r="M5" s="326"/>
      <c r="N5" s="326"/>
      <c r="O5" s="325"/>
      <c r="P5" s="325">
        <v>291533565</v>
      </c>
      <c r="Q5" s="326">
        <v>348115463.68000001</v>
      </c>
      <c r="R5" s="326">
        <v>49269015.950000003</v>
      </c>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-17</v>
      </c>
      <c r="AU5" s="327">
        <v>991590958</v>
      </c>
      <c r="AV5" s="369"/>
      <c r="AW5" s="373"/>
    </row>
    <row r="6" spans="2:49" x14ac:dyDescent="0.2">
      <c r="B6" s="343" t="s">
        <v>278</v>
      </c>
      <c r="C6" s="331" t="s">
        <v>8</v>
      </c>
      <c r="D6" s="318">
        <v>1134</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-6631881</v>
      </c>
      <c r="E9" s="362"/>
      <c r="F9" s="362"/>
      <c r="G9" s="362"/>
      <c r="H9" s="362"/>
      <c r="I9" s="364"/>
      <c r="J9" s="318">
        <v>0</v>
      </c>
      <c r="K9" s="362"/>
      <c r="L9" s="362"/>
      <c r="M9" s="362"/>
      <c r="N9" s="362"/>
      <c r="O9" s="364"/>
      <c r="P9" s="318">
        <v>761598</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-10559574</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c r="P10" s="365"/>
      <c r="Q10" s="319">
        <v>773872</v>
      </c>
      <c r="R10" s="319">
        <v>12274.28</v>
      </c>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-67997151</v>
      </c>
      <c r="E11" s="319"/>
      <c r="F11" s="319"/>
      <c r="G11" s="319"/>
      <c r="H11" s="319"/>
      <c r="I11" s="318">
        <v>0</v>
      </c>
      <c r="J11" s="318">
        <v>0</v>
      </c>
      <c r="K11" s="319"/>
      <c r="L11" s="319"/>
      <c r="M11" s="319"/>
      <c r="N11" s="319"/>
      <c r="O11" s="318"/>
      <c r="P11" s="318">
        <v>552667</v>
      </c>
      <c r="Q11" s="319">
        <v>-594216.84</v>
      </c>
      <c r="R11" s="319">
        <v>-4369.6000000000004</v>
      </c>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4098198</v>
      </c>
      <c r="AV11" s="368"/>
      <c r="AW11" s="374"/>
    </row>
    <row r="12" spans="2:49" ht="15" customHeight="1" x14ac:dyDescent="0.2">
      <c r="B12" s="343" t="s">
        <v>282</v>
      </c>
      <c r="C12" s="331" t="s">
        <v>44</v>
      </c>
      <c r="D12" s="318">
        <v>-481449</v>
      </c>
      <c r="E12" s="363"/>
      <c r="F12" s="363"/>
      <c r="G12" s="363"/>
      <c r="H12" s="363"/>
      <c r="I12" s="365"/>
      <c r="J12" s="318">
        <v>0</v>
      </c>
      <c r="K12" s="363"/>
      <c r="L12" s="363"/>
      <c r="M12" s="363"/>
      <c r="N12" s="363"/>
      <c r="O12" s="365"/>
      <c r="P12" s="318">
        <v>511545</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-10443708</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51268519.329999998</v>
      </c>
      <c r="F15" s="319"/>
      <c r="G15" s="319"/>
      <c r="H15" s="319"/>
      <c r="I15" s="318">
        <v>51268519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-26986914.170000002</v>
      </c>
      <c r="F16" s="319"/>
      <c r="G16" s="319"/>
      <c r="H16" s="319"/>
      <c r="I16" s="318">
        <v>-26986914</v>
      </c>
      <c r="J16" s="318"/>
      <c r="K16" s="319">
        <v>-2173306.64</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183801123.59999999</v>
      </c>
      <c r="F20" s="319"/>
      <c r="G20" s="319"/>
      <c r="H20" s="319"/>
      <c r="I20" s="318">
        <v>183801124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352030849</v>
      </c>
      <c r="E23" s="362"/>
      <c r="F23" s="362"/>
      <c r="G23" s="362"/>
      <c r="H23" s="362"/>
      <c r="I23" s="364"/>
      <c r="J23" s="318">
        <v>362611522</v>
      </c>
      <c r="K23" s="362"/>
      <c r="L23" s="362"/>
      <c r="M23" s="362"/>
      <c r="N23" s="362"/>
      <c r="O23" s="364"/>
      <c r="P23" s="318">
        <v>244830435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63091</v>
      </c>
      <c r="AU23" s="321">
        <v>852851288</v>
      </c>
      <c r="AV23" s="368"/>
      <c r="AW23" s="374"/>
    </row>
    <row r="24" spans="2:49" ht="28.5" customHeight="1" x14ac:dyDescent="0.2">
      <c r="B24" s="345" t="s">
        <v>114</v>
      </c>
      <c r="C24" s="331"/>
      <c r="D24" s="365"/>
      <c r="E24" s="319">
        <v>395533500.66000003</v>
      </c>
      <c r="F24" s="319">
        <v>14568116.9</v>
      </c>
      <c r="G24" s="319"/>
      <c r="H24" s="319"/>
      <c r="I24" s="318">
        <v>395532506</v>
      </c>
      <c r="J24" s="365"/>
      <c r="K24" s="319">
        <v>456025088.19999999</v>
      </c>
      <c r="L24" s="319">
        <v>84703931.590000004</v>
      </c>
      <c r="M24" s="319"/>
      <c r="N24" s="319"/>
      <c r="O24" s="318"/>
      <c r="P24" s="365"/>
      <c r="Q24" s="319">
        <v>292885672.14999998</v>
      </c>
      <c r="R24" s="319">
        <v>44314327.729999997</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48706839</v>
      </c>
      <c r="E26" s="362"/>
      <c r="F26" s="362"/>
      <c r="G26" s="362"/>
      <c r="H26" s="362"/>
      <c r="I26" s="364"/>
      <c r="J26" s="318">
        <v>34514247</v>
      </c>
      <c r="K26" s="362"/>
      <c r="L26" s="362"/>
      <c r="M26" s="362"/>
      <c r="N26" s="362"/>
      <c r="O26" s="364"/>
      <c r="P26" s="318">
        <v>23075465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106712982</v>
      </c>
      <c r="AV26" s="368"/>
      <c r="AW26" s="374"/>
    </row>
    <row r="27" spans="2:49" s="5" customFormat="1" ht="25.5" x14ac:dyDescent="0.2">
      <c r="B27" s="345" t="s">
        <v>85</v>
      </c>
      <c r="C27" s="331"/>
      <c r="D27" s="365"/>
      <c r="E27" s="319">
        <v>9403496.2200000007</v>
      </c>
      <c r="F27" s="319">
        <v>493772.1</v>
      </c>
      <c r="G27" s="319"/>
      <c r="H27" s="319"/>
      <c r="I27" s="318">
        <v>9403461</v>
      </c>
      <c r="J27" s="365"/>
      <c r="K27" s="319">
        <v>6871683.7199999997</v>
      </c>
      <c r="L27" s="319">
        <v>2242922.7400000002</v>
      </c>
      <c r="M27" s="319"/>
      <c r="N27" s="319"/>
      <c r="O27" s="318"/>
      <c r="P27" s="365"/>
      <c r="Q27" s="319">
        <v>5180705.62</v>
      </c>
      <c r="R27" s="319">
        <v>1282816.51</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45535479</v>
      </c>
      <c r="E28" s="363"/>
      <c r="F28" s="363"/>
      <c r="G28" s="363"/>
      <c r="H28" s="363"/>
      <c r="I28" s="365"/>
      <c r="J28" s="318">
        <v>27574969</v>
      </c>
      <c r="K28" s="363"/>
      <c r="L28" s="363"/>
      <c r="M28" s="363"/>
      <c r="N28" s="363"/>
      <c r="O28" s="365"/>
      <c r="P28" s="318">
        <v>17851686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63091</v>
      </c>
      <c r="AU28" s="321">
        <v>83989554</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259275</v>
      </c>
      <c r="K30" s="362"/>
      <c r="L30" s="362"/>
      <c r="M30" s="362"/>
      <c r="N30" s="362"/>
      <c r="O30" s="364"/>
      <c r="P30" s="318">
        <v>13725</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v>65967.41</v>
      </c>
      <c r="L31" s="319"/>
      <c r="M31" s="319"/>
      <c r="N31" s="319"/>
      <c r="O31" s="318"/>
      <c r="P31" s="365"/>
      <c r="Q31" s="319">
        <v>-16967.41</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193308</v>
      </c>
      <c r="K32" s="363"/>
      <c r="L32" s="363"/>
      <c r="M32" s="363"/>
      <c r="N32" s="363"/>
      <c r="O32" s="365"/>
      <c r="P32" s="318">
        <v>30692</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1701</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1701.19</v>
      </c>
      <c r="F35" s="319"/>
      <c r="G35" s="319"/>
      <c r="H35" s="319"/>
      <c r="I35" s="318">
        <v>0</v>
      </c>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45701</v>
      </c>
      <c r="E36" s="319">
        <v>45700.89</v>
      </c>
      <c r="F36" s="319"/>
      <c r="G36" s="319"/>
      <c r="H36" s="319"/>
      <c r="I36" s="318">
        <v>0</v>
      </c>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-6631881</v>
      </c>
      <c r="E38" s="362"/>
      <c r="F38" s="362"/>
      <c r="G38" s="362"/>
      <c r="H38" s="362"/>
      <c r="I38" s="364"/>
      <c r="J38" s="318">
        <v>0</v>
      </c>
      <c r="K38" s="362"/>
      <c r="L38" s="362"/>
      <c r="M38" s="362"/>
      <c r="N38" s="362"/>
      <c r="O38" s="364"/>
      <c r="P38" s="318">
        <v>761598</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-10559574</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c r="P39" s="365"/>
      <c r="Q39" s="319">
        <v>773872</v>
      </c>
      <c r="R39" s="319">
        <v>12274.28</v>
      </c>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-67997151</v>
      </c>
      <c r="E41" s="362"/>
      <c r="F41" s="362"/>
      <c r="G41" s="362"/>
      <c r="H41" s="362"/>
      <c r="I41" s="364"/>
      <c r="J41" s="318">
        <v>0</v>
      </c>
      <c r="K41" s="362"/>
      <c r="L41" s="362"/>
      <c r="M41" s="362"/>
      <c r="N41" s="362"/>
      <c r="O41" s="364"/>
      <c r="P41" s="318">
        <v>552667</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4098198</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-594216.84</v>
      </c>
      <c r="R42" s="319">
        <v>-4369.6000000000004</v>
      </c>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-481449</v>
      </c>
      <c r="E43" s="363"/>
      <c r="F43" s="363"/>
      <c r="G43" s="363"/>
      <c r="H43" s="363"/>
      <c r="I43" s="365"/>
      <c r="J43" s="318">
        <v>0</v>
      </c>
      <c r="K43" s="363"/>
      <c r="L43" s="363"/>
      <c r="M43" s="363"/>
      <c r="N43" s="363"/>
      <c r="O43" s="365"/>
      <c r="P43" s="318">
        <v>511545</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-10443708</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706253</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1435331</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2299159</v>
      </c>
      <c r="E49" s="319">
        <v>8186480.1299999999</v>
      </c>
      <c r="F49" s="319"/>
      <c r="G49" s="319"/>
      <c r="H49" s="319"/>
      <c r="I49" s="318">
        <v>8186480</v>
      </c>
      <c r="J49" s="318">
        <v>4915413</v>
      </c>
      <c r="K49" s="319">
        <v>13376155.619999999</v>
      </c>
      <c r="L49" s="319"/>
      <c r="M49" s="319"/>
      <c r="N49" s="319"/>
      <c r="O49" s="318"/>
      <c r="P49" s="318">
        <v>840546</v>
      </c>
      <c r="Q49" s="319">
        <v>8730315.1799999997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18279353</v>
      </c>
      <c r="AV49" s="368"/>
      <c r="AW49" s="374"/>
    </row>
    <row r="50" spans="2:49" x14ac:dyDescent="0.2">
      <c r="B50" s="343" t="s">
        <v>119</v>
      </c>
      <c r="C50" s="331" t="s">
        <v>34</v>
      </c>
      <c r="D50" s="318">
        <v>449328</v>
      </c>
      <c r="E50" s="363"/>
      <c r="F50" s="363"/>
      <c r="G50" s="363"/>
      <c r="H50" s="363"/>
      <c r="I50" s="365"/>
      <c r="J50" s="318">
        <v>3219400</v>
      </c>
      <c r="K50" s="363"/>
      <c r="L50" s="363"/>
      <c r="M50" s="363"/>
      <c r="N50" s="363"/>
      <c r="O50" s="365"/>
      <c r="P50" s="318">
        <v>735568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6849876</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-304043.40999999997</v>
      </c>
      <c r="L53" s="319">
        <v>-1949193.25</v>
      </c>
      <c r="M53" s="319"/>
      <c r="N53" s="319"/>
      <c r="O53" s="318"/>
      <c r="P53" s="318">
        <v>0</v>
      </c>
      <c r="Q53" s="319">
        <v>505275.29</v>
      </c>
      <c r="R53" s="319">
        <v>-4396724.55</v>
      </c>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279160795</v>
      </c>
      <c r="E54" s="323">
        <f>E24+E27+E31+E35-E36+E39+E42+E45+E46-E49+E51+E52+E53</f>
        <v>396706517.05000007</v>
      </c>
      <c r="F54" s="323">
        <f>F24+F27+F31+F35-F36+F39+F42+F45+F46-F49+F51+F52+F53</f>
        <v>15061889</v>
      </c>
      <c r="G54" s="323">
        <f>G24+G27+G31+G35-G36+G39+G42+G45+G46-G49+G51+G52+G53</f>
        <v>0</v>
      </c>
      <c r="H54" s="323">
        <f>H24+H27+H31+H35-H36+H39+H42+H45+H46-H49+H51+H52+H53</f>
        <v>0</v>
      </c>
      <c r="I54" s="322">
        <f>I24+I27+I31+I35-I36+I39+I42+I45+I46-I49+I51+I52+I53</f>
        <v>396749487</v>
      </c>
      <c r="J54" s="322">
        <f>J23+J26-J28+J30-J32+J34-J36+J38+J41-J43+J45+J46-J47-J49+J50+J51+J52+J53</f>
        <v>367920754</v>
      </c>
      <c r="K54" s="323">
        <f>K24+K27+K31+K35-K36+K39+K42+K45+K46-K49+K51+K52+K53</f>
        <v>449282540.30000001</v>
      </c>
      <c r="L54" s="323">
        <f>L24+L27+L31+L35-L36+L39+L42+L45+L46-L49+L51+L52+L53</f>
        <v>84997661.079999998</v>
      </c>
      <c r="M54" s="323">
        <f>M24+M27+M31+M35-M36+M39+M42+M45+M46-M49+M51+M52+M53</f>
        <v>0</v>
      </c>
      <c r="N54" s="323">
        <f>N24+N27+N31+N35-N36+N39+N42+N45+N46-N49+N51+N52+N53</f>
        <v>0</v>
      </c>
      <c r="O54" s="322">
        <f>O24+O27+O31+O35-O36+O39+O42+O45+O46-O49+O51+O52+O53</f>
        <v>0</v>
      </c>
      <c r="P54" s="322">
        <f>P23+P26-P28+P30-P32+P34-P36+P38+P41-P43+P45+P46-P47-P49+P50+P51+P52+P53</f>
        <v>250734989</v>
      </c>
      <c r="Q54" s="323">
        <f>Q24+Q27+Q31+Q35-Q36+Q39+Q42+Q45+Q46-Q49+Q51+Q52+Q53</f>
        <v>290004025.63</v>
      </c>
      <c r="R54" s="323">
        <f>R24+R27+R31+R35-R36+R39+R42+R45+R46-R49+R51+R52+R53</f>
        <v>41208324.369999997</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f>AN23+AN26-AN28+AN30-AN32+AN34-AN36+AN38+AN41-AN43+AN45+AN46-AN47-AN49+AN50+AN51+AN52+AN53</f>
        <v>0</v>
      </c>
      <c r="AO54" s="323">
        <f>AO24+AO27+AO31+AO35-AO36+AO39+AO42+AO45+AO46-AO49+AO51+AO52+AO53</f>
        <v>0</v>
      </c>
      <c r="AP54" s="323">
        <f>AP24+AP27+AP31+AP35-AP36+AP39+AP42+AP45+AP46-AP49+AP51+AP52+AP53</f>
        <v>0</v>
      </c>
      <c r="AQ54" s="323">
        <f>AQ24+AQ27+AQ31+AQ35-AQ36+AQ39+AQ42+AQ45+AQ46-AQ49+AQ51+AQ52+AQ53</f>
        <v>0</v>
      </c>
      <c r="AR54" s="323">
        <f>AR24+AR27+AR31+AR35-AR36+AR39+AR42+AR45+AR46-AR49+AR51+AR52+AR53</f>
        <v>0</v>
      </c>
      <c r="AS54" s="322">
        <f>AS23+AS26-AS28+AS30-AS32+AS34-AS36+AS38+AS41-AS43+AS45+AS46-AS47-AS49+AS50+AS51+AS52+AS53</f>
        <v>0</v>
      </c>
      <c r="AT54" s="324">
        <f>AT23+AT26-AT28+AT30-AT32+AT34-AT36+AT38+AT41-AT43+AT45+AT46-AT47-AT49+AT50+AT51+AT52+AT53</f>
        <v>0</v>
      </c>
      <c r="AU54" s="324">
        <f>AU23+AU26-AU28+AU30-AU32+AU34-AU36+AU38+AU41-AU43+AU45+AU46-AU47-AU49+AU50+AU51+AU52+AU53</f>
        <v>870269155</v>
      </c>
      <c r="AV54" s="368"/>
      <c r="AW54" s="374"/>
    </row>
    <row r="55" spans="2:49" ht="25.5" x14ac:dyDescent="0.2">
      <c r="B55" s="348" t="s">
        <v>493</v>
      </c>
      <c r="C55" s="335" t="s">
        <v>28</v>
      </c>
      <c r="D55" s="322">
        <f t="shared" ref="D55:AC55" si="0">MIN(MAX(0,D56),MAX(0,D57))</f>
        <v>605911.56999999995</v>
      </c>
      <c r="E55" s="323">
        <f t="shared" si="0"/>
        <v>615993.47</v>
      </c>
      <c r="F55" s="323">
        <f t="shared" si="0"/>
        <v>2224.0700000000002</v>
      </c>
      <c r="G55" s="323">
        <f t="shared" si="0"/>
        <v>0</v>
      </c>
      <c r="H55" s="323">
        <f t="shared" si="0"/>
        <v>0</v>
      </c>
      <c r="I55" s="322">
        <f t="shared" si="0"/>
        <v>615987</v>
      </c>
      <c r="J55" s="322">
        <f t="shared" si="0"/>
        <v>647638.21</v>
      </c>
      <c r="K55" s="323">
        <f t="shared" si="0"/>
        <v>783406.38</v>
      </c>
      <c r="L55" s="323">
        <f t="shared" si="0"/>
        <v>148013.39000000001</v>
      </c>
      <c r="M55" s="323">
        <f t="shared" si="0"/>
        <v>0</v>
      </c>
      <c r="N55" s="323">
        <f t="shared" si="0"/>
        <v>0</v>
      </c>
      <c r="O55" s="322">
        <f t="shared" si="0"/>
        <v>0</v>
      </c>
      <c r="P55" s="322">
        <f t="shared" si="0"/>
        <v>397805.74</v>
      </c>
      <c r="Q55" s="323">
        <f t="shared" si="0"/>
        <v>482326.46</v>
      </c>
      <c r="R55" s="323">
        <f t="shared" si="0"/>
        <v>72275.5</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f t="shared" ref="AN55:AU55" si="1">MIN(MAX(0,AN56),MAX(0,AN57))</f>
        <v>0</v>
      </c>
      <c r="AO55" s="323">
        <f t="shared" si="1"/>
        <v>0</v>
      </c>
      <c r="AP55" s="323">
        <f t="shared" si="1"/>
        <v>0</v>
      </c>
      <c r="AQ55" s="323">
        <f t="shared" si="1"/>
        <v>0</v>
      </c>
      <c r="AR55" s="323">
        <f t="shared" si="1"/>
        <v>0</v>
      </c>
      <c r="AS55" s="322">
        <f t="shared" si="1"/>
        <v>0</v>
      </c>
      <c r="AT55" s="324">
        <f t="shared" si="1"/>
        <v>0</v>
      </c>
      <c r="AU55" s="324">
        <f t="shared" si="1"/>
        <v>0</v>
      </c>
      <c r="AV55" s="368"/>
      <c r="AW55" s="374"/>
    </row>
    <row r="56" spans="2:49" ht="11.85" customHeight="1" x14ac:dyDescent="0.2">
      <c r="B56" s="343" t="s">
        <v>120</v>
      </c>
      <c r="C56" s="335" t="s">
        <v>412</v>
      </c>
      <c r="D56" s="318">
        <v>605911.56999999995</v>
      </c>
      <c r="E56" s="319">
        <v>615993.47</v>
      </c>
      <c r="F56" s="319">
        <v>10081.9</v>
      </c>
      <c r="G56" s="319"/>
      <c r="H56" s="319"/>
      <c r="I56" s="318">
        <v>615987</v>
      </c>
      <c r="J56" s="318">
        <v>647638.21</v>
      </c>
      <c r="K56" s="319">
        <v>783406.38</v>
      </c>
      <c r="L56" s="319">
        <v>148013.39000000001</v>
      </c>
      <c r="M56" s="319"/>
      <c r="N56" s="319"/>
      <c r="O56" s="318"/>
      <c r="P56" s="318">
        <v>397805.74</v>
      </c>
      <c r="Q56" s="319">
        <v>482326.46</v>
      </c>
      <c r="R56" s="319">
        <v>72275.5</v>
      </c>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1380788</v>
      </c>
      <c r="E57" s="319">
        <v>1383012.24</v>
      </c>
      <c r="F57" s="319">
        <v>2224.0700000000002</v>
      </c>
      <c r="G57" s="319"/>
      <c r="H57" s="319"/>
      <c r="I57" s="318">
        <v>1383012</v>
      </c>
      <c r="J57" s="318">
        <v>1434080</v>
      </c>
      <c r="K57" s="319">
        <v>1715835.58</v>
      </c>
      <c r="L57" s="319">
        <v>281755.17</v>
      </c>
      <c r="M57" s="319"/>
      <c r="N57" s="319"/>
      <c r="O57" s="318"/>
      <c r="P57" s="318">
        <v>771820</v>
      </c>
      <c r="Q57" s="319">
        <v>926644.99</v>
      </c>
      <c r="R57" s="319">
        <v>154824.73000000001</v>
      </c>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5160616</v>
      </c>
      <c r="AV57" s="321">
        <v>0</v>
      </c>
      <c r="AW57" s="374"/>
    </row>
    <row r="58" spans="2:49" s="5" customFormat="1" x14ac:dyDescent="0.2">
      <c r="B58" s="351" t="s">
        <v>494</v>
      </c>
      <c r="C58" s="352"/>
      <c r="D58" s="353"/>
      <c r="E58" s="354">
        <v>36382571.630000003</v>
      </c>
      <c r="F58" s="354"/>
      <c r="G58" s="354"/>
      <c r="H58" s="354"/>
      <c r="I58" s="353">
        <v>31986977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118567.57</v>
      </c>
      <c r="D5" s="403">
        <v>306103062.88999999</v>
      </c>
      <c r="E5" s="454"/>
      <c r="F5" s="454"/>
      <c r="G5" s="448"/>
      <c r="H5" s="402">
        <v>438275309.01999998</v>
      </c>
      <c r="I5" s="403">
        <v>422881986.64999998</v>
      </c>
      <c r="J5" s="454"/>
      <c r="K5" s="454"/>
      <c r="L5" s="448"/>
      <c r="M5" s="402">
        <v>283028635.31999999</v>
      </c>
      <c r="N5" s="403">
        <v>294016897.47000003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119190.81</v>
      </c>
      <c r="D6" s="398">
        <v>308175879.41000003</v>
      </c>
      <c r="E6" s="400">
        <f>SUM('Pt 1 Summary of Data'!E$12,'Pt 1 Summary of Data'!E$22)+SUM('Pt 1 Summary of Data'!G$12,'Pt 1 Summary of Data'!G$22)-SUM('Pt 1 Summary of Data'!H$12,'Pt 1 Summary of Data'!H$22)</f>
        <v>397322510.5200001</v>
      </c>
      <c r="F6" s="400">
        <f t="shared" ref="F6:F11" si="0">SUM(C6:E6)</f>
        <v>705617580.74000013</v>
      </c>
      <c r="G6" s="401">
        <f>SUM('Pt 1 Summary of Data'!I$12,'Pt 1 Summary of Data'!I$22)</f>
        <v>397365474</v>
      </c>
      <c r="H6" s="397">
        <v>439067642.33999997</v>
      </c>
      <c r="I6" s="398">
        <v>421819088.12</v>
      </c>
      <c r="J6" s="400">
        <f>SUM('Pt 1 Summary of Data'!K$12,'Pt 1 Summary of Data'!K$22)+SUM('Pt 1 Summary of Data'!M$12,'Pt 1 Summary of Data'!M$22)-SUM('Pt 1 Summary of Data'!N$12,'Pt 1 Summary of Data'!N$22)</f>
        <v>450065946.68000001</v>
      </c>
      <c r="K6" s="400">
        <f>SUM(H6:J6)</f>
        <v>1310952677.1400001</v>
      </c>
      <c r="L6" s="401">
        <f>SUM('Pt 1 Summary of Data'!O$12,'Pt 1 Summary of Data'!O$22)</f>
        <v>0</v>
      </c>
      <c r="M6" s="397">
        <v>283654362.32999998</v>
      </c>
      <c r="N6" s="398">
        <v>296869268.39999998</v>
      </c>
      <c r="O6" s="400">
        <f>SUM('Pt 1 Summary of Data'!Q$12,'Pt 1 Summary of Data'!Q$22)+SUM('Pt 1 Summary of Data'!S$12,'Pt 1 Summary of Data'!S$22)-SUM('Pt 1 Summary of Data'!T$12,'Pt 1 Summary of Data'!T$22)</f>
        <v>290486352.08999997</v>
      </c>
      <c r="P6" s="400">
        <f>SUM(M6:O6)</f>
        <v>871009982.81999993</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f>SUM('Pt 1 Summary of Data'!AO$12,'Pt 1 Summary of Data'!AO$22)+SUM('Pt 1 Summary of Data'!AQ$12,'Pt 1 Summary of Data'!AQ$22)-SUM('Pt 1 Summary of Data'!AR$12,'Pt 1 Summary of Data'!AR$22)</f>
        <v>0</v>
      </c>
      <c r="AN6" s="430">
        <f>SUM(AK6:AM6)</f>
        <v>0</v>
      </c>
    </row>
    <row r="7" spans="1:40" x14ac:dyDescent="0.2">
      <c r="B7" s="415" t="s">
        <v>310</v>
      </c>
      <c r="C7" s="397">
        <v>4379.8100000000004</v>
      </c>
      <c r="D7" s="398">
        <v>1469846.1</v>
      </c>
      <c r="E7" s="400">
        <f>SUM('Pt 1 Summary of Data'!E$37:E$41)+SUM('Pt 1 Summary of Data'!G$37:G$41)-SUM('Pt 1 Summary of Data'!H$37:H$41)+MAX(0,MIN('Pt 1 Summary of Data'!E$42+'Pt 1 Summary of Data'!G$42-'Pt 1 Summary of Data'!H$42,0.3%*('Pt 1 Summary of Data'!E$5+'Pt 1 Summary of Data'!G$5-'Pt 1 Summary of Data'!H$5-SUM(E$9:E$11))))</f>
        <v>2599778.08</v>
      </c>
      <c r="F7" s="400">
        <f t="shared" si="0"/>
        <v>4074003.99</v>
      </c>
      <c r="G7" s="401">
        <f>SUM('Pt 1 Summary of Data'!I$37:I$41)+MAX(0,MIN(VALUE('Pt 1 Summary of Data'!I$42),0.3%*('Pt 1 Summary of Data'!I$5-SUM(G$9:G$10))))</f>
        <v>2600178</v>
      </c>
      <c r="H7" s="397">
        <v>11603284.01</v>
      </c>
      <c r="I7" s="398">
        <v>10851953.91</v>
      </c>
      <c r="J7" s="400">
        <f>SUM('Pt 1 Summary of Data'!K$37:K$41)+SUM('Pt 1 Summary of Data'!M$37:M$41)-SUM('Pt 1 Summary of Data'!N$37:N$41)+MAX(0,MIN('Pt 1 Summary of Data'!K$42+'Pt 1 Summary of Data'!M$42-'Pt 1 Summary of Data'!N$42,0.3%*('Pt 1 Summary of Data'!K$5+'Pt 1 Summary of Data'!M$5-'Pt 1 Summary of Data'!N$5-SUM(J$10:J$11))))</f>
        <v>7907004.2799999993</v>
      </c>
      <c r="K7" s="400">
        <f>SUM(H7:J7)</f>
        <v>30362242.200000003</v>
      </c>
      <c r="L7" s="401">
        <f>SUM('Pt 1 Summary of Data'!O$37:O$41)+MAX(0,MIN(VALUE('Pt 1 Summary of Data'!O$42),0.3%*('Pt 1 Summary of Data'!O$5-L$10)))</f>
        <v>0</v>
      </c>
      <c r="M7" s="397">
        <v>6403122.46</v>
      </c>
      <c r="N7" s="398">
        <v>6214976.71</v>
      </c>
      <c r="O7" s="400">
        <f>SUM('Pt 1 Summary of Data'!Q$37:Q$41)+SUM('Pt 1 Summary of Data'!S$37:S$41)-SUM('Pt 1 Summary of Data'!T$37:T$41)+MAX(0,MIN('Pt 1 Summary of Data'!Q$42+'Pt 1 Summary of Data'!S$42-'Pt 1 Summary of Data'!T$42,0.3%*('Pt 1 Summary of Data'!Q$5+'Pt 1 Summary of Data'!S$5-'Pt 1 Summary of Data'!T$5)))</f>
        <v>5636028</v>
      </c>
      <c r="P7" s="400">
        <f>SUM(M7:O7)</f>
        <v>18254127.170000002</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f>SUM('Pt 1 Summary of Data'!AO$37:AO$41)+SUM('Pt 1 Summary of Data'!AQ$37:AQ$41)-SUM('Pt 1 Summary of Data'!AR$37:AR$41)+MAX(0,MIN('Pt 1 Summary of Data'!AO$42+'Pt 1 Summary of Data'!AQ$42-'Pt 1 Summary of Data'!AR$42,0.3%*('Pt 1 Summary of Data'!AO$5+'Pt 1 Summary of Data'!AQ$5-'Pt 1 Summary of Data'!AR$5)))</f>
        <v>0</v>
      </c>
      <c r="AN7" s="430">
        <f>SUM(AK7:AM7)</f>
        <v>0</v>
      </c>
    </row>
    <row r="8" spans="1:40" x14ac:dyDescent="0.2">
      <c r="B8" s="415" t="s">
        <v>495</v>
      </c>
      <c r="C8" s="444"/>
      <c r="D8" s="398">
        <v>26105752.41</v>
      </c>
      <c r="E8" s="400">
        <f>'Pt 2 Premium and Claims'!E58+'Pt 2 Premium and Claims'!G58-'Pt 2 Premium and Claims'!H58</f>
        <v>36382571.630000003</v>
      </c>
      <c r="F8" s="400">
        <f t="shared" si="0"/>
        <v>62488324.040000007</v>
      </c>
      <c r="G8" s="401">
        <f>'Pt 2 Premium and Claims'!I58</f>
        <v>31986977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53329111.450000003</v>
      </c>
      <c r="E9" s="400">
        <f>'Pt 2 Premium and Claims'!E$15+'Pt 2 Premium and Claims'!G$15-'Pt 2 Premium and Claims'!H$15</f>
        <v>51268519.329999998</v>
      </c>
      <c r="F9" s="400">
        <f t="shared" si="0"/>
        <v>104597630.78</v>
      </c>
      <c r="G9" s="401">
        <f>'Pt 2 Premium and Claims'!I$15</f>
        <v>51268519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-38610710.600000001</v>
      </c>
      <c r="E10" s="400">
        <f>'Pt 2 Premium and Claims'!E$16+'Pt 2 Premium and Claims'!G$16-'Pt 2 Premium and Claims'!H$16</f>
        <v>-26986914.170000002</v>
      </c>
      <c r="F10" s="400">
        <f t="shared" si="0"/>
        <v>-65597624.770000003</v>
      </c>
      <c r="G10" s="401">
        <f>'Pt 2 Premium and Claims'!I$16</f>
        <v>-26986914</v>
      </c>
      <c r="H10" s="443"/>
      <c r="I10" s="398">
        <v>-1676973.35</v>
      </c>
      <c r="J10" s="400">
        <f>'Pt 2 Premium and Claims'!K$16+'Pt 2 Premium and Claims'!M$16-'Pt 2 Premium and Claims'!N$16</f>
        <v>-2173306.64</v>
      </c>
      <c r="K10" s="400">
        <f>SUM(H10:J10)</f>
        <v>-3850279.99</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7435422.8499999996</v>
      </c>
      <c r="E11" s="400">
        <f>'Pt 2 Premium and Claims'!E$17+'Pt 2 Premium and Claims'!G$17-'Pt 2 Premium and Claims'!H$17</f>
        <v>0</v>
      </c>
      <c r="F11" s="400">
        <f t="shared" si="0"/>
        <v>7435422.8499999996</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123570.62</v>
      </c>
      <c r="D12" s="400">
        <f>SUM(D$6:D$7) - SUM(D$8:D$11)+IF(AND(OR('Company Information'!$C$12="District of Columbia",'Company Information'!$C$12="Massachusetts",'Company Information'!$C$12="Vermont"),SUM($C$6:$F$11,$C$15:$F$16,$C$38:$D$38)&lt;&gt;0),SUM(I$6:I$7) - SUM(I$10:I$11),0)</f>
        <v>261386149.40000004</v>
      </c>
      <c r="E12" s="400">
        <f>SUM(E$6:E$7)-SUM(E$8:E$11)+IF(AND(OR('Company Information'!$C$12="District of Columbia",'Company Information'!$C$12="Massachusetts",'Company Information'!$C$12="Vermont"),SUM($C$6:$F$11,$C$15:$F$16,$C$38:$D$38)&lt;&gt;0),SUM(J$6:J$7)-SUM(J$10:J$11),0)</f>
        <v>339258111.81000006</v>
      </c>
      <c r="F12" s="400">
        <f>IFERROR(SUM(C$12:E$12)+C$17*MAX(0,E$50-C$50)+D$17*MAX(0,E$50-D$50),0)</f>
        <v>600767831.83000016</v>
      </c>
      <c r="G12" s="447"/>
      <c r="H12" s="399">
        <f>SUM(H$6:H$7)+IF(AND(OR('Company Information'!$C$12="District of Columbia",'Company Information'!$C$12="Massachusetts",'Company Information'!$C$12="Vermont"),SUM($H$6:$K$11,$H$15:$K$16,$H$38:$I$38)&lt;&gt;0),SUM(C$6:C$7),0)</f>
        <v>450670926.34999996</v>
      </c>
      <c r="I12" s="400">
        <f>SUM(I$6:I$7) - SUM(I$10:I$11)+IF(AND(OR('Company Information'!$C$12="District of Columbia",'Company Information'!$C$12="Massachusetts",'Company Information'!$C$12="Vermont"),SUM($H$6:$K$11,$H$15:$K$16,$H$38:$I$38)&lt;&gt;0),SUM(D$6:D$7) - SUM(D$8:D$11),0)</f>
        <v>434348015.38000005</v>
      </c>
      <c r="J12" s="400">
        <f>SUM(J$6:J$7)-SUM(J$10:J$11)+IF(AND(OR('Company Information'!$C$12="District of Columbia",'Company Information'!$C$12="Massachusetts",'Company Information'!$C$12="Vermont"),SUM($H$6:$K$11,$H$15:$K$16,$H$38:$I$38)&lt;&gt;0),SUM(E$6:E$7)-SUM(E$8:E$11),0)</f>
        <v>460146257.59999996</v>
      </c>
      <c r="K12" s="400">
        <f>IFERROR(SUM(H$12:J$12)+H$17*MAX(0,J$50-H$50)+I$17*MAX(0,J$50-I$50),0)</f>
        <v>1345165199.3299999</v>
      </c>
      <c r="L12" s="447"/>
      <c r="M12" s="399">
        <f>SUM(M$6:M$7)</f>
        <v>290057484.78999996</v>
      </c>
      <c r="N12" s="400">
        <f>SUM(N$6:N$7)</f>
        <v>303084245.10999995</v>
      </c>
      <c r="O12" s="400">
        <f>SUM(O$6:O$7)</f>
        <v>296122380.08999997</v>
      </c>
      <c r="P12" s="400">
        <f>SUM(M$12:O$12)+M$17*MAX(0,O$50-M$50)+N$17*MAX(0,O$50-N$50)</f>
        <v>889264109.98999977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f>1.15*SUM(AK$6:AK$7)</f>
        <v>0</v>
      </c>
      <c r="AL13" s="400">
        <f>SUM(AL$6:AL$7)</f>
        <v>0</v>
      </c>
      <c r="AM13" s="400">
        <f>SUM(AM$6:AM$7)</f>
        <v>0</v>
      </c>
      <c r="AN13" s="430">
        <f>SUM(AN$6:AN$7)</f>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169512.41</v>
      </c>
      <c r="D15" s="403">
        <v>242292761.28</v>
      </c>
      <c r="E15" s="395">
        <f>SUM('Pt 1 Summary of Data'!E$5:E$7)+SUM('Pt 1 Summary of Data'!G$5:G$7)-SUM('Pt 1 Summary of Data'!H$5:H$7)-SUM(E$9:E$11)</f>
        <v>335404569.00999999</v>
      </c>
      <c r="F15" s="395">
        <f>SUM(C15:E15)</f>
        <v>577866842.70000005</v>
      </c>
      <c r="G15" s="396">
        <f>SUM('Pt 1 Summary of Data'!I$5:I$7)-SUM(G$9:G$10)</f>
        <v>335394416</v>
      </c>
      <c r="H15" s="402">
        <v>546509913.63</v>
      </c>
      <c r="I15" s="403">
        <v>549534085.13999999</v>
      </c>
      <c r="J15" s="395">
        <f>SUM('Pt 1 Summary of Data'!K$5:K$7)+SUM('Pt 1 Summary of Data'!M$5:M$7)-SUM('Pt 1 Summary of Data'!N$5:N$7)-SUM(J$10:J$11)</f>
        <v>543336998.69999993</v>
      </c>
      <c r="K15" s="395">
        <f>SUM(H15:J15)</f>
        <v>1639380997.4699998</v>
      </c>
      <c r="L15" s="396">
        <f>SUM('Pt 1 Summary of Data'!O$5:O$7)-L$10</f>
        <v>0</v>
      </c>
      <c r="M15" s="402">
        <v>338506080.44</v>
      </c>
      <c r="N15" s="403">
        <v>339106228.85000002</v>
      </c>
      <c r="O15" s="395">
        <f>SUM('Pt 1 Summary of Data'!Q$5:Q$7)+SUM('Pt 1 Summary of Data'!S$5:S$7)-SUM('Pt 1 Summary of Data'!T$5:T$7)+N$56</f>
        <v>348180989.28000003</v>
      </c>
      <c r="P15" s="395">
        <f>SUM(M15:O15)</f>
        <v>1025793298.5699999</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f>SUM('Pt 1 Summary of Data'!AO$5:AO$7)+SUM('Pt 1 Summary of Data'!AQ$5:AQ$7)-SUM('Pt 1 Summary of Data'!AR$5:AR$7)+AL$56</f>
        <v>0</v>
      </c>
      <c r="AN15" s="431">
        <f>SUM(AK15:AM15)</f>
        <v>0</v>
      </c>
    </row>
    <row r="16" spans="1:40" x14ac:dyDescent="0.2">
      <c r="B16" s="415" t="s">
        <v>311</v>
      </c>
      <c r="C16" s="397">
        <v>21293.41</v>
      </c>
      <c r="D16" s="398">
        <v>25469545.100000001</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6211465.0699999966</v>
      </c>
      <c r="F16" s="400">
        <f>SUM(C16:E16)</f>
        <v>31702303.579999998</v>
      </c>
      <c r="G16" s="401">
        <f>SUM('Pt 1 Summary of Data'!I$25:I$28,'Pt 1 Summary of Data'!I$30,'Pt 1 Summary of Data'!I$34:I$35)+IF('Company Information'!$C$15="No",IF(MAX('Pt 1 Summary of Data'!I$31:I$32)=0,MIN('Pt 1 Summary of Data'!I$31:I$32),MAX('Pt 1 Summary of Data'!I$31:I$32)),SUM('Pt 1 Summary of Data'!I$31:I$32))</f>
        <v>-35055276</v>
      </c>
      <c r="H16" s="397">
        <v>13491666.43</v>
      </c>
      <c r="I16" s="398">
        <v>34344309.850000001</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20416557.219999999</v>
      </c>
      <c r="K16" s="400">
        <f>SUM(H16:J16)</f>
        <v>68252533.5</v>
      </c>
      <c r="L16" s="401">
        <f>SUM('Pt 1 Summary of Data'!O$25:O$28,'Pt 1 Summary of Data'!O$30,'Pt 1 Summary of Data'!O$34:O$35)+IF('Company Information'!$C$15="No",IF(MAX('Pt 1 Summary of Data'!O$31:O$32)=0,MIN('Pt 1 Summary of Data'!O$31:O$32),MAX('Pt 1 Summary of Data'!O$31:O$32)),SUM('Pt 1 Summary of Data'!O$31:O$32))</f>
        <v>0</v>
      </c>
      <c r="M16" s="397">
        <v>4770986.34</v>
      </c>
      <c r="N16" s="398">
        <v>7769064.8399999999</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13747893.5</v>
      </c>
      <c r="P16" s="400">
        <f>SUM(M16:O16)</f>
        <v>26287944.68</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Data'!AR$31:AR$32))+AL$57</f>
        <v>0</v>
      </c>
      <c r="AN16" s="430">
        <f>SUM(AK16:AM16)</f>
        <v>0</v>
      </c>
    </row>
    <row r="17" spans="1:40" s="65" customFormat="1" x14ac:dyDescent="0.2">
      <c r="A17" s="108"/>
      <c r="B17" s="416" t="s">
        <v>318</v>
      </c>
      <c r="C17" s="399">
        <f>C$15-C$16+IF(AND(OR('Company Information'!$C$12="District of Columbia",'Company Information'!$C$12="Massachusetts",'Company Information'!$C$12="Vermont"),SUM($C$6:$F$11,$C$15:$F$16,$C$38:$D$38)&lt;&gt;0),H$15-H$16,0)</f>
        <v>148219</v>
      </c>
      <c r="D17" s="400">
        <f>D$15-D$16+IF(AND(OR('Company Information'!$C$12="District of Columbia",'Company Information'!$C$12="Massachusetts",'Company Information'!$C$12="Vermont"),SUM($C$6:$F$11,$C$15:$F$16,$C$38:$D$38)&lt;&gt;0),I$15-I$16,0)</f>
        <v>216823216.18000001</v>
      </c>
      <c r="E17" s="400">
        <f>E$15-E$16+IF(AND(OR('Company Information'!$C$12="District of Columbia",'Company Information'!$C$12="Massachusetts",'Company Information'!$C$12="Vermont"),SUM($C$6:$F$11,$C$15:$F$16,$C$38:$D$38)&lt;&gt;0),J$15-J$16,0)</f>
        <v>329193103.94</v>
      </c>
      <c r="F17" s="400">
        <f>F$15-F$16+IF(AND(OR('Company Information'!$C$12="District of Columbia",'Company Information'!$C$12="Massachusetts",'Company Information'!$C$12="Vermont"),SUM($C$6:$F$11,$C$15:$F$16,$C$38:$D$38)&lt;&gt;0),K$15-K$16,0)</f>
        <v>546164539.12</v>
      </c>
      <c r="G17" s="450"/>
      <c r="H17" s="399">
        <f>H$15-H$16+IF(AND(OR('Company Information'!$C$12="District of Columbia",'Company Information'!$C$12="Massachusetts",'Company Information'!$C$12="Vermont"),SUM($H$6:$K$11,$H$15:$K$16,$H$38:$I$38)&lt;&gt;0),C$15-C$16,0)</f>
        <v>533018247.19999999</v>
      </c>
      <c r="I17" s="400">
        <f>I$15-I$16+IF(AND(OR('Company Information'!$C$12="District of Columbia",'Company Information'!$C$12="Massachusetts",'Company Information'!$C$12="Vermont"),SUM($H$6:$K$11,$H$15:$K$16,$H$38:$I$38)&lt;&gt;0),D$15-D$16,0)</f>
        <v>515189775.28999996</v>
      </c>
      <c r="J17" s="400">
        <f>J$15-J$16+IF(AND(OR('Company Information'!$C$12="District of Columbia",'Company Information'!$C$12="Massachusetts",'Company Information'!$C$12="Vermont"),SUM($H$6:$K$11,$H$15:$K$16,$H$38:$I$38)&lt;&gt;0),E$15-E$16,0)</f>
        <v>522920441.4799999</v>
      </c>
      <c r="K17" s="400">
        <f>K$15-K$16+IF(AND(OR('Company Information'!$C$12="District of Columbia",'Company Information'!$C$12="Massachusetts",'Company Information'!$C$12="Vermont"),SUM($H$6:$K$11,$H$15:$K$16,$H$38:$I$38)&lt;&gt;0),F$15-F$16,0)</f>
        <v>1571128463.9699998</v>
      </c>
      <c r="L17" s="450"/>
      <c r="M17" s="399">
        <f>M$15-M$16</f>
        <v>333735094.10000002</v>
      </c>
      <c r="N17" s="400">
        <f>N$15-N$16</f>
        <v>331337164.01000005</v>
      </c>
      <c r="O17" s="400">
        <f>O$15-O$16</f>
        <v>334433095.78000003</v>
      </c>
      <c r="P17" s="400">
        <f>P$15-P$16</f>
        <v>999505353.88999999</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f>AK$15-AK$16</f>
        <v>0</v>
      </c>
      <c r="AL17" s="400">
        <f>AL$15-AL$16</f>
        <v>0</v>
      </c>
      <c r="AM17" s="400">
        <f>AM$15-AM$16</f>
        <v>0</v>
      </c>
      <c r="AN17" s="430">
        <f>AN$15-AN$16</f>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345864552</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47284164</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18522484.600000001</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-22699024</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18522484.600000001</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11113490.76</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30751372.600000001</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30751372.600000001</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46443656.239999995</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304643043.39999998</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23342378.759999998</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11113490.76</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23342378.759999998</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39034662.400000006</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312052037.24000001</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1.10835537258164</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14879982</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14696376</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74</v>
      </c>
      <c r="D38" s="405">
        <v>72572.75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95629.75</v>
      </c>
      <c r="F38" s="432">
        <f>SUM(C$38:E$38)+IF(AND(OR('Company Information'!$C$12="District of Columbia",'Company Information'!$C$12="Massachusetts",'Company Information'!$C$12="Vermont"),SUM($C$6:$F$11,$C$15:$F$16,$C$38:$D$38)&lt;&gt;0,SUM(C$38:D$38)&lt;&gt;SUM(H$38:I$38)),SUM(H$38:I$38),0)</f>
        <v>168276.5</v>
      </c>
      <c r="G38" s="448"/>
      <c r="H38" s="404">
        <v>136490</v>
      </c>
      <c r="I38" s="405">
        <v>127396.42</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118235.33333333333</v>
      </c>
      <c r="K38" s="432">
        <f>SUM(H$38:J$38)+IF(AND(OR('Company Information'!$C$12="District of Columbia",'Company Information'!$C$12="Massachusetts",'Company Information'!$C$12="Vermont"),SUM($H$6:$K$11,$H$15:$K$16,$H$38:$I$38)&lt;&gt;0,SUM(H$38:I$38)&lt;&gt;SUM(C$38:D$38)),SUM(C$38:D$38),0)</f>
        <v>382121.7533333333</v>
      </c>
      <c r="L38" s="448"/>
      <c r="M38" s="404">
        <v>79314</v>
      </c>
      <c r="N38" s="405">
        <v>74293.67</v>
      </c>
      <c r="O38" s="432">
        <f>('Pt 1 Summary of Data'!Q$59+'Pt 1 Summary of Data'!S$59-'Pt 1 Summary of Data'!T$59)/12</f>
        <v>69435.25</v>
      </c>
      <c r="P38" s="432">
        <f>SUM(M$38:O$38)</f>
        <v>223042.91999999998</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f>('Pt 1 Summary of Data'!AO$59+'Pt 1 Summary of Data'!AQ$59-'Pt 1 Summary of Data'!AR$59)/12</f>
        <v>0</v>
      </c>
      <c r="AN38" s="433">
        <f>SUM(AK38:AM38)</f>
        <v>0</v>
      </c>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f ca="1">IF(OR(AN$38&lt;1000,AN$38&gt;=75000),0,VLOOKUP(AN$38,'Reference Tables'!$A$4:$B$11,2)+((AN$38-VLOOKUP(AN$38,'Reference Tables'!$A$4:$B$11,1))*(OFFSET(INDEX('Reference Tables'!$A$4:$A$11,MATCH(AN$38,'Reference Tables'!$A$4:$A$11)),1,1)-VLOOKUP(AN$38,'Reference Tables'!$A$4:$B$11,2))/(OFFSET(INDEX('Reference Tables'!$A$4:$A$11,MATCH(AN$38,'Reference Tables'!$A$4:$A$11)),1,0)-VLOOKUP(AN$38,'Reference Tables'!$A$4:$B$11,1))))</f>
        <v>0</v>
      </c>
    </row>
    <row r="40" spans="1:40" s="10" customFormat="1" x14ac:dyDescent="0.2">
      <c r="A40" s="107"/>
      <c r="B40" s="421" t="s">
        <v>321</v>
      </c>
      <c r="C40" s="443"/>
      <c r="D40" s="441"/>
      <c r="E40" s="441"/>
      <c r="F40" s="398">
        <v>13312</v>
      </c>
      <c r="G40" s="447"/>
      <c r="H40" s="443"/>
      <c r="I40" s="441"/>
      <c r="J40" s="441"/>
      <c r="K40" s="398">
        <v>2694</v>
      </c>
      <c r="L40" s="447"/>
      <c r="M40" s="443"/>
      <c r="N40" s="441"/>
      <c r="O40" s="441"/>
      <c r="P40" s="398">
        <v>2627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1.736</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1.1824687999999999</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1.1760903999999999</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f ca="1">IF(AN$40&lt;2500,1,(MIN(VLOOKUP(AN$40,'Reference Tables'!$A$17:$B$20,2)+((AN$40-VLOOKUP(AN$40,'Reference Tables'!$A$17:$B$20,1))*(OFFSET(INDEX('Reference Tables'!$A$17:$A$20,MATCH(AN$40,'Reference Tables'!$A$17:$A$20)),1,1)-VLOOKUP(AN$40,'Reference Tables'!$A$17:$B$20,2))/(OFFSET(INDEX('Reference Tables'!$A$17:$A$20,MATCH(AN$40,'Reference Tables'!$A$17:$A$20)),1,0)-VLOOKUP(AN$40,'Reference Tables'!$A$17:$B$20,1))),1.736)))</f>
        <v>1</v>
      </c>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f>IF(OR(AN$38&lt;1000,AN$38&gt;=75000),0,AN$39*AN$41)</f>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f>IF(OR(D$38&lt;1000,D$17&lt;=0),"",D$12/D$17)</f>
        <v>1.205526576005612</v>
      </c>
      <c r="E45" s="436">
        <f>IF(OR(E$38&lt;1000,E$17&lt;=0),"",E$12/E$17)</f>
        <v>1.0305747834615471</v>
      </c>
      <c r="F45" s="436">
        <f>IF(OR(F$38&lt;1000,F$17&lt;=0),"",F$12/F$17)</f>
        <v>1.0999759024963045</v>
      </c>
      <c r="G45" s="447"/>
      <c r="H45" s="438">
        <f>IF(OR(H$38&lt;1000,H$17&lt;=0),"",H$12/H$17)</f>
        <v>0.84550750132368069</v>
      </c>
      <c r="I45" s="436">
        <f>IF(OR(I$38&lt;1000,I$17&lt;=0),"",I$12/I$17)</f>
        <v>0.84308353195772545</v>
      </c>
      <c r="J45" s="436">
        <f>IF(OR(J$38&lt;1000,J$17&lt;=0),"",J$12/J$17)</f>
        <v>0.87995461852221191</v>
      </c>
      <c r="K45" s="436">
        <f>IF(OR(K$38&lt;1000,K$17&lt;=0),"",K$12/K$17)</f>
        <v>0.85617772841501105</v>
      </c>
      <c r="L45" s="447"/>
      <c r="M45" s="438">
        <f>IF(OR(M$38&lt;1000,M$17&lt;=0),"",M$12/M$17)</f>
        <v>0.86912491349527499</v>
      </c>
      <c r="N45" s="436">
        <f>IF(OR(N$38&lt;1000,N$17&lt;=0),"",N$12/N$17)</f>
        <v>0.9147306068595813</v>
      </c>
      <c r="O45" s="436">
        <f>IF(OR(O$38&lt;1000,O$17&lt;=0),"",O$12/O$17)</f>
        <v>0.88544580015130447</v>
      </c>
      <c r="P45" s="436">
        <f>IF(OR(P$38&lt;1000,P$17&lt;=0),"",P$12/P$17)</f>
        <v>0.88970419871094286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t="str">
        <f>IF(OR(AK$38&lt;1000,AK$17&lt;=0),"",AK$13/AK$17)</f>
        <v/>
      </c>
      <c r="AL46" s="436" t="str">
        <f>IF(OR(AL$38&lt;1000,AL$17&lt;=0),"",AL$13/AL$17)</f>
        <v/>
      </c>
      <c r="AM46" s="436" t="str">
        <f>IF(OR(AM$38&lt;1000,AM$17&lt;=0),"",AM$13/AM$17)</f>
        <v/>
      </c>
      <c r="AN46" s="437" t="str">
        <f>IF(OR(AN$38&lt;1000,AN$17&lt;=0),"",AN$13/AN$17)</f>
        <v/>
      </c>
    </row>
    <row r="47" spans="1:40" s="65" customFormat="1" x14ac:dyDescent="0.2">
      <c r="A47" s="107"/>
      <c r="B47" s="421" t="s">
        <v>328</v>
      </c>
      <c r="C47" s="443"/>
      <c r="D47" s="441"/>
      <c r="E47" s="441"/>
      <c r="F47" s="436">
        <f>IF(F$45="","",F$42)</f>
        <v>0</v>
      </c>
      <c r="G47" s="447"/>
      <c r="H47" s="443"/>
      <c r="I47" s="441"/>
      <c r="J47" s="441"/>
      <c r="K47" s="436">
        <f>IF(K$45="","",K$42)</f>
        <v>0</v>
      </c>
      <c r="L47" s="447"/>
      <c r="M47" s="443"/>
      <c r="N47" s="441"/>
      <c r="O47" s="441"/>
      <c r="P47" s="436">
        <f>IF(P$45="","",P$42)</f>
        <v>0</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t="str">
        <f>IF(AN$46="","",AN$42)</f>
        <v/>
      </c>
    </row>
    <row r="48" spans="1:40" s="9" customFormat="1" x14ac:dyDescent="0.2">
      <c r="A48" s="108"/>
      <c r="B48" s="423" t="s">
        <v>327</v>
      </c>
      <c r="C48" s="443"/>
      <c r="D48" s="441"/>
      <c r="E48" s="441"/>
      <c r="F48" s="436">
        <f>IF(F$45="","",ROUND(F$45+MAX(0,F$47),3))</f>
        <v>1.1000000000000001</v>
      </c>
      <c r="G48" s="447"/>
      <c r="H48" s="443"/>
      <c r="I48" s="441"/>
      <c r="J48" s="441"/>
      <c r="K48" s="436">
        <f>IF(K$45="","",ROUND(K$45+MAX(0,K$47),3))</f>
        <v>0.85599999999999998</v>
      </c>
      <c r="L48" s="447"/>
      <c r="M48" s="443"/>
      <c r="N48" s="441"/>
      <c r="O48" s="441"/>
      <c r="P48" s="436">
        <f>IF(P$45="","",ROUND(P$45+MAX(0,P$47),3))</f>
        <v>0.89</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t="str">
        <f>IF(AN$46="","",ROUND(AN$46+MAX(0,AN$47),3))</f>
        <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1.6</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1.1000000000000001</v>
      </c>
      <c r="G51" s="447"/>
      <c r="H51" s="444"/>
      <c r="I51" s="442"/>
      <c r="J51" s="442"/>
      <c r="K51" s="436">
        <f>K$48</f>
        <v>0.85599999999999998</v>
      </c>
      <c r="L51" s="447"/>
      <c r="M51" s="444"/>
      <c r="N51" s="442"/>
      <c r="O51" s="442"/>
      <c r="P51" s="436">
        <f>P$48</f>
        <v>0.89</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t="str">
        <f>AN$48</f>
        <v/>
      </c>
    </row>
    <row r="52" spans="1:40" s="65" customFormat="1" ht="26.25" customHeight="1" x14ac:dyDescent="0.2">
      <c r="A52" s="107"/>
      <c r="B52" s="419" t="s">
        <v>332</v>
      </c>
      <c r="C52" s="443"/>
      <c r="D52" s="441"/>
      <c r="E52" s="441"/>
      <c r="F52" s="400">
        <f>IF(F$38&lt;1000,"",MAX(0,E$15-E$16))</f>
        <v>329193103.94</v>
      </c>
      <c r="G52" s="447"/>
      <c r="H52" s="443"/>
      <c r="I52" s="441"/>
      <c r="J52" s="441"/>
      <c r="K52" s="400">
        <f>IF(K$38&lt;1000,"",MAX(0,J$15-J$16))</f>
        <v>522920441.4799999</v>
      </c>
      <c r="L52" s="447"/>
      <c r="M52" s="443"/>
      <c r="N52" s="441"/>
      <c r="O52" s="441"/>
      <c r="P52" s="400">
        <f>IF(P$38&lt;1000,"",MAX(0,O$15-O$16))</f>
        <v>334433095.78000003</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t="str">
        <f>IF(AN$38&lt;1000,"",MAX(0,AM$15-AM$16))</f>
        <v/>
      </c>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f>IF(OR(AN$38&lt;1000,AN$17&lt;=0),0,MAX(0,AN$50-AN$51)*AN$52)</f>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755.09</v>
      </c>
      <c r="D56" s="441"/>
      <c r="E56" s="441"/>
      <c r="F56" s="441"/>
      <c r="G56" s="447"/>
      <c r="H56" s="397">
        <v>3565513.17</v>
      </c>
      <c r="I56" s="441"/>
      <c r="J56" s="441"/>
      <c r="K56" s="441"/>
      <c r="L56" s="447"/>
      <c r="M56" s="397">
        <v>1306111.47</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94.59</v>
      </c>
      <c r="D57" s="441"/>
      <c r="E57" s="441"/>
      <c r="F57" s="441"/>
      <c r="G57" s="447"/>
      <c r="H57" s="397">
        <v>87619.55</v>
      </c>
      <c r="I57" s="441"/>
      <c r="J57" s="441"/>
      <c r="K57" s="441"/>
      <c r="L57" s="447"/>
      <c r="M57" s="397">
        <v>18328.759999999998</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2167482</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306011214</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308178696</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56451</v>
      </c>
      <c r="D4" s="104">
        <f>'Pt 1 Summary of Data'!$K$56+'Pt 1 Summary of Data'!$M$56-'Pt 1 Summary of Data'!$N$56</f>
        <v>73257</v>
      </c>
      <c r="E4" s="104">
        <f>'Pt 1 Summary of Data'!$Q$56+'Pt 1 Summary of Data'!$S$56-'Pt 1 Summary of Data'!$T$56</f>
        <v>41903</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t="s">
        <v>507</v>
      </c>
      <c r="C9" s="28"/>
      <c r="D9" s="29"/>
      <c r="E9" s="29"/>
      <c r="F9" s="29"/>
      <c r="G9" s="29"/>
      <c r="H9" s="29"/>
      <c r="I9" s="27"/>
      <c r="J9" s="27"/>
      <c r="K9" s="2"/>
    </row>
    <row r="10" spans="1:12" s="5" customFormat="1" ht="18" customHeight="1" x14ac:dyDescent="0.2">
      <c r="B10" s="61" t="s">
        <v>508</v>
      </c>
      <c r="C10" s="28"/>
      <c r="D10" s="29"/>
      <c r="E10" s="29"/>
      <c r="F10" s="29"/>
      <c r="G10" s="29"/>
      <c r="H10" s="29"/>
      <c r="I10" s="27"/>
      <c r="J10" s="27"/>
      <c r="K10" s="2"/>
    </row>
    <row r="11" spans="1:12" s="5" customFormat="1" ht="18" customHeight="1" x14ac:dyDescent="0.2">
      <c r="B11" s="61" t="s">
        <v>509</v>
      </c>
      <c r="C11" s="28"/>
      <c r="D11" s="29"/>
      <c r="E11" s="29"/>
      <c r="F11" s="29"/>
      <c r="G11" s="29"/>
      <c r="H11" s="29"/>
      <c r="I11" s="27"/>
      <c r="J11" s="27"/>
      <c r="K11" s="2"/>
    </row>
    <row r="12" spans="1:12" s="5" customFormat="1" ht="18" customHeight="1" x14ac:dyDescent="0.2">
      <c r="B12" s="61" t="s">
        <v>510</v>
      </c>
      <c r="C12" s="28"/>
      <c r="D12" s="29"/>
      <c r="E12" s="29"/>
      <c r="F12" s="29"/>
      <c r="G12" s="29"/>
      <c r="H12" s="29"/>
      <c r="I12" s="27"/>
      <c r="J12" s="27"/>
      <c r="K12" s="2"/>
    </row>
    <row r="13" spans="1:12" s="5" customFormat="1" ht="18" customHeight="1" x14ac:dyDescent="0.2">
      <c r="B13" s="61" t="s">
        <v>511</v>
      </c>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512</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513</v>
      </c>
      <c r="E27" s="7"/>
    </row>
    <row r="28" spans="2:5" ht="35.25" customHeight="1" x14ac:dyDescent="0.2">
      <c r="B28" s="134"/>
      <c r="C28" s="113"/>
      <c r="D28" s="137" t="s">
        <v>514</v>
      </c>
      <c r="E28" s="7"/>
    </row>
    <row r="29" spans="2:5" ht="35.25" customHeight="1" x14ac:dyDescent="0.2">
      <c r="B29" s="134"/>
      <c r="C29" s="113"/>
      <c r="D29" s="137" t="s">
        <v>515</v>
      </c>
      <c r="E29" s="7"/>
    </row>
    <row r="30" spans="2:5" ht="35.25" customHeight="1" x14ac:dyDescent="0.2">
      <c r="B30" s="134"/>
      <c r="C30" s="113"/>
      <c r="D30" s="137" t="s">
        <v>516</v>
      </c>
      <c r="E30" s="7"/>
    </row>
    <row r="31" spans="2:5" ht="35.25" customHeight="1" x14ac:dyDescent="0.2">
      <c r="B31" s="134"/>
      <c r="C31" s="113"/>
      <c r="D31" s="137" t="s">
        <v>517</v>
      </c>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518</v>
      </c>
      <c r="E34" s="7"/>
    </row>
    <row r="35" spans="2:5" ht="35.25" customHeight="1" x14ac:dyDescent="0.2">
      <c r="B35" s="134"/>
      <c r="C35" s="113"/>
      <c r="D35" s="137" t="s">
        <v>519</v>
      </c>
      <c r="E35" s="7"/>
    </row>
    <row r="36" spans="2:5" ht="35.25" customHeight="1" x14ac:dyDescent="0.2">
      <c r="B36" s="134"/>
      <c r="C36" s="113"/>
      <c r="D36" s="137" t="s">
        <v>520</v>
      </c>
      <c r="E36" s="7"/>
    </row>
    <row r="37" spans="2:5" ht="35.25" customHeight="1" x14ac:dyDescent="0.2">
      <c r="B37" s="134"/>
      <c r="C37" s="113"/>
      <c r="D37" s="137" t="s">
        <v>521</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522</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523</v>
      </c>
      <c r="E48" s="7"/>
    </row>
    <row r="49" spans="2:5" ht="35.25" customHeight="1" x14ac:dyDescent="0.2">
      <c r="B49" s="134"/>
      <c r="C49" s="113"/>
      <c r="D49" s="137" t="s">
        <v>524</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525</v>
      </c>
      <c r="E56" s="7"/>
    </row>
    <row r="57" spans="2:5" ht="35.25" customHeight="1" x14ac:dyDescent="0.2">
      <c r="B57" s="134"/>
      <c r="C57" s="115"/>
      <c r="D57" s="137" t="s">
        <v>526</v>
      </c>
      <c r="E57" s="7"/>
    </row>
    <row r="58" spans="2:5" ht="35.25" customHeight="1" x14ac:dyDescent="0.2">
      <c r="B58" s="134"/>
      <c r="C58" s="115"/>
      <c r="D58" s="137" t="s">
        <v>527</v>
      </c>
      <c r="E58" s="7"/>
    </row>
    <row r="59" spans="2:5" ht="35.25" customHeight="1" x14ac:dyDescent="0.2">
      <c r="B59" s="134"/>
      <c r="C59" s="115"/>
      <c r="D59" s="137" t="s">
        <v>528</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525</v>
      </c>
      <c r="E67" s="7"/>
    </row>
    <row r="68" spans="2:5" ht="35.25" customHeight="1" x14ac:dyDescent="0.2">
      <c r="B68" s="134"/>
      <c r="C68" s="115"/>
      <c r="D68" s="137" t="s">
        <v>526</v>
      </c>
      <c r="E68" s="7"/>
    </row>
    <row r="69" spans="2:5" ht="35.25" customHeight="1" x14ac:dyDescent="0.2">
      <c r="B69" s="134"/>
      <c r="C69" s="115"/>
      <c r="D69" s="137" t="s">
        <v>527</v>
      </c>
      <c r="E69" s="7"/>
    </row>
    <row r="70" spans="2:5" ht="35.25" customHeight="1" x14ac:dyDescent="0.2">
      <c r="B70" s="134"/>
      <c r="C70" s="115"/>
      <c r="D70" s="137" t="s">
        <v>528</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525</v>
      </c>
      <c r="E78" s="7"/>
    </row>
    <row r="79" spans="2:5" ht="35.25" customHeight="1" x14ac:dyDescent="0.2">
      <c r="B79" s="134"/>
      <c r="C79" s="115"/>
      <c r="D79" s="137" t="s">
        <v>526</v>
      </c>
      <c r="E79" s="7"/>
    </row>
    <row r="80" spans="2:5" ht="35.25" customHeight="1" x14ac:dyDescent="0.2">
      <c r="B80" s="134"/>
      <c r="C80" s="115"/>
      <c r="D80" s="137" t="s">
        <v>527</v>
      </c>
      <c r="E80" s="7"/>
    </row>
    <row r="81" spans="2:5" ht="35.25" customHeight="1" x14ac:dyDescent="0.2">
      <c r="B81" s="134"/>
      <c r="C81" s="115"/>
      <c r="D81" s="137" t="s">
        <v>528</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525</v>
      </c>
      <c r="E89" s="7"/>
    </row>
    <row r="90" spans="2:5" ht="35.25" customHeight="1" x14ac:dyDescent="0.2">
      <c r="B90" s="134"/>
      <c r="C90" s="115"/>
      <c r="D90" s="137" t="s">
        <v>526</v>
      </c>
      <c r="E90" s="7"/>
    </row>
    <row r="91" spans="2:5" ht="35.25" customHeight="1" x14ac:dyDescent="0.2">
      <c r="B91" s="134"/>
      <c r="C91" s="115"/>
      <c r="D91" s="137" t="s">
        <v>527</v>
      </c>
      <c r="E91" s="7"/>
    </row>
    <row r="92" spans="2:5" ht="35.25" customHeight="1" x14ac:dyDescent="0.2">
      <c r="B92" s="134"/>
      <c r="C92" s="115"/>
      <c r="D92" s="137" t="s">
        <v>528</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529</v>
      </c>
      <c r="E100" s="7"/>
    </row>
    <row r="101" spans="2:5" ht="35.25" customHeight="1" x14ac:dyDescent="0.2">
      <c r="B101" s="134"/>
      <c r="C101" s="115"/>
      <c r="D101" s="137" t="s">
        <v>530</v>
      </c>
      <c r="E101" s="7"/>
    </row>
    <row r="102" spans="2:5" ht="35.25" customHeight="1" x14ac:dyDescent="0.2">
      <c r="B102" s="134"/>
      <c r="C102" s="115"/>
      <c r="D102" s="137" t="s">
        <v>531</v>
      </c>
      <c r="E102" s="7"/>
    </row>
    <row r="103" spans="2:5" ht="35.25" customHeight="1" x14ac:dyDescent="0.2">
      <c r="B103" s="134"/>
      <c r="C103" s="115"/>
      <c r="D103" s="137" t="s">
        <v>532</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525</v>
      </c>
      <c r="E111" s="27"/>
    </row>
    <row r="112" spans="2:5" s="5" customFormat="1" ht="35.25" customHeight="1" x14ac:dyDescent="0.2">
      <c r="B112" s="134"/>
      <c r="C112" s="115"/>
      <c r="D112" s="137" t="s">
        <v>526</v>
      </c>
      <c r="E112" s="27"/>
    </row>
    <row r="113" spans="2:5" s="5" customFormat="1" ht="35.25" customHeight="1" x14ac:dyDescent="0.2">
      <c r="B113" s="134"/>
      <c r="C113" s="115"/>
      <c r="D113" s="137" t="s">
        <v>527</v>
      </c>
      <c r="E113" s="27"/>
    </row>
    <row r="114" spans="2:5" s="5" customFormat="1" ht="35.25" customHeight="1" x14ac:dyDescent="0.2">
      <c r="B114" s="134"/>
      <c r="C114" s="115"/>
      <c r="D114" s="137" t="s">
        <v>528</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525</v>
      </c>
      <c r="E123" s="7"/>
    </row>
    <row r="124" spans="2:5" s="5" customFormat="1" ht="35.25" customHeight="1" x14ac:dyDescent="0.2">
      <c r="B124" s="134"/>
      <c r="C124" s="113"/>
      <c r="D124" s="137" t="s">
        <v>526</v>
      </c>
      <c r="E124" s="27"/>
    </row>
    <row r="125" spans="2:5" s="5" customFormat="1" ht="35.25" customHeight="1" x14ac:dyDescent="0.2">
      <c r="B125" s="134"/>
      <c r="C125" s="113"/>
      <c r="D125" s="137" t="s">
        <v>527</v>
      </c>
      <c r="E125" s="27"/>
    </row>
    <row r="126" spans="2:5" s="5" customFormat="1" ht="35.25" customHeight="1" x14ac:dyDescent="0.2">
      <c r="B126" s="134"/>
      <c r="C126" s="113"/>
      <c r="D126" s="137" t="s">
        <v>528</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525</v>
      </c>
      <c r="E134" s="27"/>
    </row>
    <row r="135" spans="2:5" s="5" customFormat="1" ht="35.25" customHeight="1" x14ac:dyDescent="0.2">
      <c r="B135" s="134"/>
      <c r="C135" s="113"/>
      <c r="D135" s="137" t="s">
        <v>526</v>
      </c>
      <c r="E135" s="27"/>
    </row>
    <row r="136" spans="2:5" s="5" customFormat="1" ht="35.25" customHeight="1" x14ac:dyDescent="0.2">
      <c r="B136" s="134"/>
      <c r="C136" s="113"/>
      <c r="D136" s="137" t="s">
        <v>527</v>
      </c>
      <c r="E136" s="27"/>
    </row>
    <row r="137" spans="2:5" s="5" customFormat="1" ht="35.25" customHeight="1" x14ac:dyDescent="0.2">
      <c r="B137" s="134"/>
      <c r="C137" s="113"/>
      <c r="D137" s="137" t="s">
        <v>528</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526</v>
      </c>
      <c r="E145" s="27"/>
    </row>
    <row r="146" spans="2:5" s="5" customFormat="1" ht="35.25" customHeight="1" x14ac:dyDescent="0.2">
      <c r="B146" s="134"/>
      <c r="C146" s="113"/>
      <c r="D146" s="137" t="s">
        <v>527</v>
      </c>
      <c r="E146" s="27"/>
    </row>
    <row r="147" spans="2:5" s="5" customFormat="1" ht="35.25" customHeight="1" x14ac:dyDescent="0.2">
      <c r="B147" s="134"/>
      <c r="C147" s="113"/>
      <c r="D147" s="137" t="s">
        <v>528</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526</v>
      </c>
      <c r="E167" s="27"/>
    </row>
    <row r="168" spans="2:5" s="5" customFormat="1" ht="35.25" customHeight="1" x14ac:dyDescent="0.2">
      <c r="B168" s="134"/>
      <c r="C168" s="113"/>
      <c r="D168" s="137" t="s">
        <v>527</v>
      </c>
      <c r="E168" s="27"/>
    </row>
    <row r="169" spans="2:5" s="5" customFormat="1" ht="35.25" customHeight="1" x14ac:dyDescent="0.2">
      <c r="B169" s="134"/>
      <c r="C169" s="113"/>
      <c r="D169" s="137" t="s">
        <v>528</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526</v>
      </c>
      <c r="E178" s="27"/>
    </row>
    <row r="179" spans="2:5" s="5" customFormat="1" ht="35.25" customHeight="1" x14ac:dyDescent="0.2">
      <c r="B179" s="134"/>
      <c r="C179" s="113"/>
      <c r="D179" s="137" t="s">
        <v>527</v>
      </c>
      <c r="E179" s="27"/>
    </row>
    <row r="180" spans="2:5" s="5" customFormat="1" ht="35.25" customHeight="1" x14ac:dyDescent="0.2">
      <c r="B180" s="134"/>
      <c r="C180" s="113"/>
      <c r="D180" s="137" t="s">
        <v>528</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522</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525</v>
      </c>
      <c r="E200" s="27"/>
    </row>
    <row r="201" spans="2:5" s="5" customFormat="1" ht="35.25" customHeight="1" x14ac:dyDescent="0.2">
      <c r="B201" s="134"/>
      <c r="C201" s="113"/>
      <c r="D201" s="137" t="s">
        <v>526</v>
      </c>
      <c r="E201" s="27"/>
    </row>
    <row r="202" spans="2:5" s="5" customFormat="1" ht="35.25" customHeight="1" x14ac:dyDescent="0.2">
      <c r="B202" s="134"/>
      <c r="C202" s="113"/>
      <c r="D202" s="137" t="s">
        <v>527</v>
      </c>
      <c r="E202" s="27"/>
    </row>
    <row r="203" spans="2:5" s="5" customFormat="1" ht="35.25" customHeight="1" x14ac:dyDescent="0.2">
      <c r="B203" s="134"/>
      <c r="C203" s="113"/>
      <c r="D203" s="137" t="s">
        <v>528</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2016-07-28T11:48:51Z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